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ДГиДНГ\ПИСЬМА + ТЕНДЕРА\ТЕНДЕРА\Тендера 2022\ЦЕНТРАЛИЗОВАННЫЕ\Тендер по тек.ремонту НКТ, изготовл.патрубков и переводников)\на сайт  ОРБ\"/>
    </mc:Choice>
  </mc:AlternateContent>
  <xr:revisionPtr revIDLastSave="0" documentId="13_ncr:1_{03036E0F-FF25-4728-BD13-4985BAEE868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УД-13 (2)" sheetId="2" state="hidden" r:id="rId1"/>
    <sheet name="Производ.программа" sheetId="1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1">Производ.программа!$A$1:$N$50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K44" i="1" s="1"/>
  <c r="D44" i="1"/>
  <c r="G44" i="1"/>
  <c r="J44" i="1"/>
  <c r="I27" i="1"/>
  <c r="J41" i="1"/>
  <c r="G41" i="1"/>
  <c r="D41" i="1"/>
  <c r="J31" i="1"/>
  <c r="G31" i="1"/>
  <c r="J21" i="1"/>
  <c r="G21" i="1"/>
  <c r="D31" i="1"/>
  <c r="H42" i="1" l="1"/>
  <c r="I42" i="1" s="1"/>
  <c r="F40" i="1"/>
  <c r="H39" i="1"/>
  <c r="H38" i="1"/>
  <c r="K38" i="1" s="1"/>
  <c r="L38" i="1" s="1"/>
  <c r="H43" i="1"/>
  <c r="K43" i="1" s="1"/>
  <c r="L43" i="1" s="1"/>
  <c r="F43" i="1"/>
  <c r="F42" i="1"/>
  <c r="F38" i="1"/>
  <c r="J34" i="1"/>
  <c r="G34" i="1"/>
  <c r="D34" i="1"/>
  <c r="H33" i="1"/>
  <c r="K33" i="1" s="1"/>
  <c r="L33" i="1" s="1"/>
  <c r="L37" i="1" s="1"/>
  <c r="F33" i="1"/>
  <c r="H32" i="1"/>
  <c r="K32" i="1" s="1"/>
  <c r="L32" i="1" s="1"/>
  <c r="F32" i="1"/>
  <c r="H30" i="1"/>
  <c r="G24" i="1"/>
  <c r="J24" i="1"/>
  <c r="D24" i="1"/>
  <c r="K23" i="1"/>
  <c r="L23" i="1" s="1"/>
  <c r="L27" i="1" s="1"/>
  <c r="F44" i="1" l="1"/>
  <c r="K42" i="1"/>
  <c r="L42" i="1" s="1"/>
  <c r="L44" i="1" s="1"/>
  <c r="K39" i="1"/>
  <c r="L39" i="1" s="1"/>
  <c r="I39" i="1"/>
  <c r="I38" i="1"/>
  <c r="F39" i="1"/>
  <c r="H40" i="1"/>
  <c r="I43" i="1"/>
  <c r="I44" i="1" s="1"/>
  <c r="F34" i="1"/>
  <c r="H29" i="1"/>
  <c r="I29" i="1" s="1"/>
  <c r="H28" i="1"/>
  <c r="K28" i="1" s="1"/>
  <c r="L28" i="1" s="1"/>
  <c r="L34" i="1"/>
  <c r="L35" i="1" s="1"/>
  <c r="I33" i="1"/>
  <c r="I32" i="1"/>
  <c r="I30" i="1"/>
  <c r="K30" i="1"/>
  <c r="L30" i="1" s="1"/>
  <c r="K22" i="1"/>
  <c r="L22" i="1" s="1"/>
  <c r="M23" i="1"/>
  <c r="M27" i="1" s="1"/>
  <c r="F47" i="1" l="1"/>
  <c r="M33" i="1"/>
  <c r="M37" i="1" s="1"/>
  <c r="I37" i="1"/>
  <c r="M39" i="1"/>
  <c r="M43" i="1"/>
  <c r="M42" i="1"/>
  <c r="M38" i="1"/>
  <c r="I40" i="1"/>
  <c r="K40" i="1"/>
  <c r="L40" i="1" s="1"/>
  <c r="L41" i="1" s="1"/>
  <c r="M22" i="1"/>
  <c r="M24" i="1" s="1"/>
  <c r="L24" i="1"/>
  <c r="M32" i="1"/>
  <c r="M34" i="1" s="1"/>
  <c r="I34" i="1"/>
  <c r="I35" i="1" s="1"/>
  <c r="K29" i="1"/>
  <c r="L29" i="1" s="1"/>
  <c r="I28" i="1"/>
  <c r="M30" i="1"/>
  <c r="M20" i="1"/>
  <c r="D18" i="1"/>
  <c r="D21" i="1" s="1"/>
  <c r="M44" i="1" l="1"/>
  <c r="L47" i="1"/>
  <c r="L45" i="1"/>
  <c r="M40" i="1"/>
  <c r="M41" i="1" s="1"/>
  <c r="I41" i="1"/>
  <c r="M28" i="1"/>
  <c r="M29" i="1"/>
  <c r="K17" i="1"/>
  <c r="L17" i="1" s="1"/>
  <c r="C54" i="2"/>
  <c r="L51" i="2"/>
  <c r="M51" i="2" s="1"/>
  <c r="N51" i="2" s="1"/>
  <c r="E51" i="2"/>
  <c r="G51" i="2" s="1"/>
  <c r="D51" i="2"/>
  <c r="C51" i="2"/>
  <c r="C45" i="2"/>
  <c r="L42" i="2"/>
  <c r="M42" i="2" s="1"/>
  <c r="N42" i="2" s="1"/>
  <c r="E42" i="2"/>
  <c r="G42" i="2" s="1"/>
  <c r="D42" i="2"/>
  <c r="C42" i="2"/>
  <c r="F41" i="2"/>
  <c r="H41" i="2" s="1"/>
  <c r="E41" i="2"/>
  <c r="G41" i="2" s="1"/>
  <c r="C36" i="2"/>
  <c r="L33" i="2"/>
  <c r="M33" i="2" s="1"/>
  <c r="N33" i="2" s="1"/>
  <c r="D33" i="2"/>
  <c r="E33" i="2" s="1"/>
  <c r="C33" i="2"/>
  <c r="F32" i="2"/>
  <c r="H32" i="2" s="1"/>
  <c r="E32" i="2"/>
  <c r="G32" i="2" s="1"/>
  <c r="N19" i="2"/>
  <c r="N20" i="2" s="1"/>
  <c r="M19" i="2"/>
  <c r="L19" i="2"/>
  <c r="N18" i="2"/>
  <c r="M18" i="2"/>
  <c r="L18" i="2"/>
  <c r="L20" i="2" s="1"/>
  <c r="H16" i="2"/>
  <c r="H17" i="2" s="1"/>
  <c r="G16" i="2"/>
  <c r="G18" i="2" s="1"/>
  <c r="G19" i="2" s="1"/>
  <c r="G20" i="2" s="1"/>
  <c r="F16" i="2"/>
  <c r="F17" i="2" s="1"/>
  <c r="E16" i="2"/>
  <c r="E17" i="2" s="1"/>
  <c r="D16" i="2"/>
  <c r="D18" i="2" s="1"/>
  <c r="D19" i="2" s="1"/>
  <c r="D20" i="2" s="1"/>
  <c r="C16" i="2"/>
  <c r="C18" i="2" s="1"/>
  <c r="C19" i="2" s="1"/>
  <c r="C20" i="2" s="1"/>
  <c r="H11" i="2"/>
  <c r="H13" i="2" s="1"/>
  <c r="H14" i="2" s="1"/>
  <c r="H15" i="2" s="1"/>
  <c r="G11" i="2"/>
  <c r="G12" i="2" s="1"/>
  <c r="F11" i="2"/>
  <c r="F12" i="2" s="1"/>
  <c r="E11" i="2"/>
  <c r="E12" i="2" s="1"/>
  <c r="D11" i="2"/>
  <c r="D13" i="2" s="1"/>
  <c r="D14" i="2" s="1"/>
  <c r="D15" i="2" s="1"/>
  <c r="C11" i="2"/>
  <c r="C13" i="2" s="1"/>
  <c r="H6" i="2"/>
  <c r="H8" i="2" s="1"/>
  <c r="H9" i="2" s="1"/>
  <c r="H10" i="2" s="1"/>
  <c r="G6" i="2"/>
  <c r="G8" i="2" s="1"/>
  <c r="G9" i="2" s="1"/>
  <c r="G10" i="2" s="1"/>
  <c r="F6" i="2"/>
  <c r="F8" i="2" s="1"/>
  <c r="F9" i="2" s="1"/>
  <c r="F10" i="2" s="1"/>
  <c r="E6" i="2"/>
  <c r="E8" i="2" s="1"/>
  <c r="E9" i="2" s="1"/>
  <c r="E10" i="2" s="1"/>
  <c r="D6" i="2"/>
  <c r="D8" i="2" s="1"/>
  <c r="D9" i="2" s="1"/>
  <c r="D10" i="2" s="1"/>
  <c r="C6" i="2"/>
  <c r="C8" i="2" s="1"/>
  <c r="C9" i="2" s="1"/>
  <c r="C10" i="2" s="1"/>
  <c r="M20" i="2" l="1"/>
  <c r="F51" i="2"/>
  <c r="H51" i="2" s="1"/>
  <c r="P20" i="2"/>
  <c r="Q20" i="2" s="1"/>
  <c r="M47" i="1"/>
  <c r="M45" i="1"/>
  <c r="I47" i="1"/>
  <c r="I45" i="1"/>
  <c r="M31" i="1"/>
  <c r="M35" i="1" s="1"/>
  <c r="B55" i="2"/>
  <c r="K18" i="1"/>
  <c r="L18" i="1" s="1"/>
  <c r="M17" i="1"/>
  <c r="K19" i="1"/>
  <c r="L19" i="1" s="1"/>
  <c r="C7" i="2"/>
  <c r="C30" i="2" s="1"/>
  <c r="C31" i="2" s="1"/>
  <c r="C34" i="2" s="1"/>
  <c r="E7" i="2"/>
  <c r="C17" i="2"/>
  <c r="C48" i="2" s="1"/>
  <c r="C14" i="2"/>
  <c r="C15" i="2" s="1"/>
  <c r="D17" i="2"/>
  <c r="D48" i="2" s="1"/>
  <c r="D49" i="2" s="1"/>
  <c r="D52" i="2" s="1"/>
  <c r="G62" i="2" s="1"/>
  <c r="E18" i="2"/>
  <c r="E19" i="2" s="1"/>
  <c r="E20" i="2" s="1"/>
  <c r="F18" i="2"/>
  <c r="F19" i="2" s="1"/>
  <c r="F20" i="2" s="1"/>
  <c r="H12" i="2"/>
  <c r="H21" i="2"/>
  <c r="H22" i="2" s="1"/>
  <c r="D7" i="2"/>
  <c r="H48" i="2"/>
  <c r="H49" i="2" s="1"/>
  <c r="H52" i="2" s="1"/>
  <c r="K62" i="2" s="1"/>
  <c r="E39" i="2"/>
  <c r="E40" i="2" s="1"/>
  <c r="E43" i="2" s="1"/>
  <c r="F39" i="2"/>
  <c r="F40" i="2" s="1"/>
  <c r="G33" i="2"/>
  <c r="F33" i="2"/>
  <c r="G39" i="2"/>
  <c r="G40" i="2" s="1"/>
  <c r="G43" i="2" s="1"/>
  <c r="E48" i="2"/>
  <c r="F48" i="2"/>
  <c r="F49" i="2" s="1"/>
  <c r="F52" i="2" s="1"/>
  <c r="I62" i="2" s="1"/>
  <c r="E13" i="2"/>
  <c r="E14" i="2" s="1"/>
  <c r="E15" i="2" s="1"/>
  <c r="C21" i="2"/>
  <c r="F7" i="2"/>
  <c r="F13" i="2"/>
  <c r="F14" i="2" s="1"/>
  <c r="F15" i="2" s="1"/>
  <c r="D21" i="2"/>
  <c r="G7" i="2"/>
  <c r="G13" i="2"/>
  <c r="G14" i="2" s="1"/>
  <c r="G15" i="2" s="1"/>
  <c r="E21" i="2"/>
  <c r="H18" i="2"/>
  <c r="H19" i="2" s="1"/>
  <c r="H20" i="2" s="1"/>
  <c r="H7" i="2"/>
  <c r="G17" i="2"/>
  <c r="F21" i="2"/>
  <c r="G21" i="2"/>
  <c r="D12" i="2"/>
  <c r="C12" i="2"/>
  <c r="F42" i="2"/>
  <c r="M18" i="1" l="1"/>
  <c r="L21" i="1"/>
  <c r="L25" i="1" s="1"/>
  <c r="I21" i="1"/>
  <c r="I25" i="1" s="1"/>
  <c r="M19" i="1"/>
  <c r="H23" i="2"/>
  <c r="H24" i="2" s="1"/>
  <c r="H25" i="2" s="1"/>
  <c r="C49" i="2"/>
  <c r="C52" i="2" s="1"/>
  <c r="F62" i="2" s="1"/>
  <c r="D30" i="2"/>
  <c r="L22" i="2" s="1"/>
  <c r="H39" i="2"/>
  <c r="H40" i="2" s="1"/>
  <c r="E30" i="2"/>
  <c r="E31" i="2" s="1"/>
  <c r="E34" i="2" s="1"/>
  <c r="H60" i="2" s="1"/>
  <c r="J61" i="2"/>
  <c r="F60" i="2"/>
  <c r="H61" i="2"/>
  <c r="E22" i="2"/>
  <c r="E23" i="2"/>
  <c r="E24" i="2" s="1"/>
  <c r="E25" i="2" s="1"/>
  <c r="D39" i="2"/>
  <c r="D40" i="2" s="1"/>
  <c r="D43" i="2" s="1"/>
  <c r="G61" i="2" s="1"/>
  <c r="G48" i="2"/>
  <c r="C39" i="2"/>
  <c r="H30" i="2"/>
  <c r="H31" i="2" s="1"/>
  <c r="F23" i="2"/>
  <c r="F24" i="2" s="1"/>
  <c r="F25" i="2" s="1"/>
  <c r="F22" i="2"/>
  <c r="F43" i="2"/>
  <c r="I61" i="2" s="1"/>
  <c r="H42" i="2"/>
  <c r="H33" i="2"/>
  <c r="E49" i="2"/>
  <c r="E52" i="2" s="1"/>
  <c r="G30" i="2"/>
  <c r="D22" i="2"/>
  <c r="D23" i="2"/>
  <c r="D24" i="2" s="1"/>
  <c r="D25" i="2" s="1"/>
  <c r="G22" i="2"/>
  <c r="G23" i="2"/>
  <c r="G24" i="2" s="1"/>
  <c r="G25" i="2" s="1"/>
  <c r="F30" i="2"/>
  <c r="F31" i="2" s="1"/>
  <c r="F34" i="2" s="1"/>
  <c r="C22" i="2"/>
  <c r="C23" i="2"/>
  <c r="C24" i="2" s="1"/>
  <c r="C25" i="2" s="1"/>
  <c r="K15" i="2" l="1"/>
  <c r="M21" i="1"/>
  <c r="M25" i="1" s="1"/>
  <c r="C53" i="2"/>
  <c r="D31" i="2"/>
  <c r="D34" i="2" s="1"/>
  <c r="L23" i="2"/>
  <c r="H43" i="2"/>
  <c r="K61" i="2" s="1"/>
  <c r="I60" i="2"/>
  <c r="I63" i="2" s="1"/>
  <c r="E35" i="2"/>
  <c r="M30" i="2" s="1"/>
  <c r="G49" i="2"/>
  <c r="G52" i="2" s="1"/>
  <c r="G31" i="2"/>
  <c r="G34" i="2" s="1"/>
  <c r="L48" i="2"/>
  <c r="D56" i="2"/>
  <c r="C55" i="2"/>
  <c r="C40" i="2"/>
  <c r="C43" i="2" s="1"/>
  <c r="H62" i="2"/>
  <c r="H63" i="2" s="1"/>
  <c r="E53" i="2"/>
  <c r="M48" i="2" s="1"/>
  <c r="H34" i="2"/>
  <c r="K60" i="2" s="1"/>
  <c r="E44" i="2"/>
  <c r="M39" i="2" s="1"/>
  <c r="K63" i="2" l="1"/>
  <c r="G44" i="2"/>
  <c r="N39" i="2" s="1"/>
  <c r="H64" i="2"/>
  <c r="G60" i="2"/>
  <c r="G63" i="2" s="1"/>
  <c r="C35" i="2"/>
  <c r="L30" i="2" s="1"/>
  <c r="M49" i="2"/>
  <c r="Q48" i="2"/>
  <c r="M47" i="2"/>
  <c r="Q47" i="2" s="1"/>
  <c r="M52" i="2"/>
  <c r="Q52" i="2" s="1"/>
  <c r="Q30" i="2"/>
  <c r="M31" i="2"/>
  <c r="R39" i="2"/>
  <c r="N40" i="2"/>
  <c r="N38" i="2"/>
  <c r="R38" i="2" s="1"/>
  <c r="N43" i="2"/>
  <c r="R43" i="2" s="1"/>
  <c r="Q39" i="2"/>
  <c r="M40" i="2"/>
  <c r="M43" i="2"/>
  <c r="Q43" i="2" s="1"/>
  <c r="M38" i="2"/>
  <c r="Q38" i="2" s="1"/>
  <c r="C44" i="2"/>
  <c r="L39" i="2" s="1"/>
  <c r="F61" i="2"/>
  <c r="F63" i="2" s="1"/>
  <c r="M34" i="2"/>
  <c r="Q34" i="2" s="1"/>
  <c r="L49" i="2"/>
  <c r="P48" i="2"/>
  <c r="L52" i="2"/>
  <c r="P52" i="2" s="1"/>
  <c r="Q51" i="2" s="1"/>
  <c r="L47" i="2"/>
  <c r="G53" i="2"/>
  <c r="N48" i="2" s="1"/>
  <c r="J62" i="2"/>
  <c r="M29" i="2"/>
  <c r="Q29" i="2" s="1"/>
  <c r="G35" i="2"/>
  <c r="N30" i="2" s="1"/>
  <c r="J60" i="2"/>
  <c r="F64" i="2" l="1"/>
  <c r="L34" i="2"/>
  <c r="P34" i="2" s="1"/>
  <c r="Q33" i="2" s="1"/>
  <c r="O32" i="2"/>
  <c r="L31" i="2"/>
  <c r="L25" i="2"/>
  <c r="P23" i="2" s="1"/>
  <c r="P30" i="2"/>
  <c r="L26" i="2"/>
  <c r="P22" i="2" s="1"/>
  <c r="R22" i="2" s="1"/>
  <c r="L29" i="2"/>
  <c r="P29" i="2" s="1"/>
  <c r="N49" i="2"/>
  <c r="R48" i="2"/>
  <c r="N52" i="2"/>
  <c r="R52" i="2" s="1"/>
  <c r="N47" i="2"/>
  <c r="R47" i="2" s="1"/>
  <c r="P47" i="2"/>
  <c r="P51" i="2" s="1"/>
  <c r="P39" i="2"/>
  <c r="L40" i="2"/>
  <c r="L38" i="2"/>
  <c r="P38" i="2" s="1"/>
  <c r="P42" i="2" s="1"/>
  <c r="L43" i="2"/>
  <c r="P43" i="2" s="1"/>
  <c r="Q42" i="2" s="1"/>
  <c r="J63" i="2"/>
  <c r="J64" i="2" s="1"/>
  <c r="L64" i="2" s="1"/>
  <c r="R30" i="2"/>
  <c r="N31" i="2"/>
  <c r="N34" i="2"/>
  <c r="R34" i="2" s="1"/>
  <c r="N29" i="2"/>
  <c r="R29" i="2" s="1"/>
  <c r="P17" i="2" l="1"/>
  <c r="Q17" i="2" s="1"/>
  <c r="P33" i="2"/>
  <c r="N59" i="2"/>
</calcChain>
</file>

<file path=xl/sharedStrings.xml><?xml version="1.0" encoding="utf-8"?>
<sst xmlns="http://schemas.openxmlformats.org/spreadsheetml/2006/main" count="228" uniqueCount="73">
  <si>
    <t xml:space="preserve">Потребность в ремонте НКТ </t>
  </si>
  <si>
    <t>Актив</t>
  </si>
  <si>
    <t>Единица измер</t>
  </si>
  <si>
    <t>нкт</t>
  </si>
  <si>
    <t>нктв</t>
  </si>
  <si>
    <t>ПРН</t>
  </si>
  <si>
    <t>м</t>
  </si>
  <si>
    <t>шт</t>
  </si>
  <si>
    <t>тонн</t>
  </si>
  <si>
    <t>10-483,46</t>
  </si>
  <si>
    <t>ОГТ</t>
  </si>
  <si>
    <t>ГП</t>
  </si>
  <si>
    <t xml:space="preserve">январь </t>
  </si>
  <si>
    <t>февраль</t>
  </si>
  <si>
    <t>март</t>
  </si>
  <si>
    <t>opex</t>
  </si>
  <si>
    <t>capex</t>
  </si>
  <si>
    <t>чек</t>
  </si>
  <si>
    <t>ОРБ</t>
  </si>
  <si>
    <t>расход трубы б/у</t>
  </si>
  <si>
    <t>Сумма списания трубы (opex)</t>
  </si>
  <si>
    <t>тыс. руб. без НДС</t>
  </si>
  <si>
    <t>УД-13</t>
  </si>
  <si>
    <t>шт. с учётом отбраковки</t>
  </si>
  <si>
    <t>Сумма услуг по ремонту трубы ( ДДС)</t>
  </si>
  <si>
    <t>Для ДДС</t>
  </si>
  <si>
    <t>Отбракованно шт.</t>
  </si>
  <si>
    <t>тыс. руб. с НДС</t>
  </si>
  <si>
    <t>Стоимость ремонта 1 НКТ руб.без НДС</t>
  </si>
  <si>
    <t xml:space="preserve">Стоимость 1 отбракованной НКТ руб.без НДС </t>
  </si>
  <si>
    <t>Справочно:</t>
  </si>
  <si>
    <t xml:space="preserve">тыс. руб./тн </t>
  </si>
  <si>
    <t>Итого стоимость ремонта в год руб. без НДС</t>
  </si>
  <si>
    <t>Сумма списания НКТ на инвест</t>
  </si>
  <si>
    <t>Инвест</t>
  </si>
  <si>
    <t>БП</t>
  </si>
  <si>
    <t>БП по ОРБ</t>
  </si>
  <si>
    <t>Итого потребность в ремонте ОРБ</t>
  </si>
  <si>
    <t>ОРБ парк НКТ текущий момент</t>
  </si>
  <si>
    <t>кол-во (шт.)</t>
  </si>
  <si>
    <t>сумма ремонта НКТ,руб без НДС</t>
  </si>
  <si>
    <t>сумма ремонта НКВ,руб без НДС</t>
  </si>
  <si>
    <t>новая</t>
  </si>
  <si>
    <t>Год</t>
  </si>
  <si>
    <t>ремонтная</t>
  </si>
  <si>
    <t>в ремонт</t>
  </si>
  <si>
    <t>73в</t>
  </si>
  <si>
    <t>Итого:</t>
  </si>
  <si>
    <t>Наименование услуги</t>
  </si>
  <si>
    <t>Стоимость за ед. изм., руб. 
(без НДС)</t>
  </si>
  <si>
    <t>Стоимость ВСЕГО, руб.                  
(без НДС)</t>
  </si>
  <si>
    <t>Стоимость ВСЕГО, руб 
(без НДС)</t>
  </si>
  <si>
    <t>Ремонт насосно-компрессорных труб (НКТ 73*5,5 )</t>
  </si>
  <si>
    <t>Ремонт насосно-компрессорных труб (НКТВ 73*5,5 )</t>
  </si>
  <si>
    <t xml:space="preserve">Отбраковка НКТ </t>
  </si>
  <si>
    <t>Изготовление патрубков</t>
  </si>
  <si>
    <t>Изготовление переводников</t>
  </si>
  <si>
    <t>Ремонт насосно-компрессорных труб (НКТ 89*6,5 )</t>
  </si>
  <si>
    <t>2023 год</t>
  </si>
  <si>
    <t>2024 год</t>
  </si>
  <si>
    <t>2025 год</t>
  </si>
  <si>
    <t>2023-2025 гг</t>
  </si>
  <si>
    <t>Итого</t>
  </si>
  <si>
    <t>Всего</t>
  </si>
  <si>
    <t>Производственная программа ремонта НКТ/НКТВ, изготовление патрубков и переводников на 2023-2025 гг</t>
  </si>
  <si>
    <t>АО "ОЙЛГАЗТЭТ"</t>
  </si>
  <si>
    <t>АО "ПРЕОБРАЖЕНСКНЕФТЬ"</t>
  </si>
  <si>
    <t>ООО "ГЕОПРОГРЕСС"</t>
  </si>
  <si>
    <t>Завоз/вывоз НКТ/НКТВ 1 рейс (140 шт)</t>
  </si>
  <si>
    <t>Ед, изм</t>
  </si>
  <si>
    <t>рейс</t>
  </si>
  <si>
    <t>щт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</si>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</sst>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0.0"/>
    <numFmt numFmtId="167" formatCode="#,##0.00\ _₽"/>
    <numFmt numFmtId="168" formatCode="_-* #,##0\ _₽_-;\-* #,##0\ _₽_-;_-* &quot;-&quot;?\ _₽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</cellStyleXfs>
  <cellXfs count="165">
    <xf numFmtId="0" fontId="0" fillId="0" borderId="0" xfId="0"/>
    <xf numFmtId="0" fontId="2" fillId="0" borderId="0" xfId="1"/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2" fillId="0" borderId="11" xfId="1" applyBorder="1" applyAlignment="1">
      <alignment horizontal="center" vertical="center" wrapText="1"/>
    </xf>
    <xf numFmtId="1" fontId="1" fillId="2" borderId="12" xfId="1" applyNumberFormat="1" applyFont="1" applyFill="1" applyBorder="1" applyAlignment="1">
      <alignment horizontal="center" vertical="center" wrapText="1"/>
    </xf>
    <xf numFmtId="1" fontId="1" fillId="3" borderId="13" xfId="1" applyNumberFormat="1" applyFont="1" applyFill="1" applyBorder="1" applyAlignment="1">
      <alignment horizontal="center" vertical="center" wrapText="1"/>
    </xf>
    <xf numFmtId="1" fontId="1" fillId="2" borderId="14" xfId="1" applyNumberFormat="1" applyFont="1" applyFill="1" applyBorder="1" applyAlignment="1">
      <alignment horizontal="center" vertical="center" wrapText="1"/>
    </xf>
    <xf numFmtId="1" fontId="1" fillId="3" borderId="15" xfId="1" applyNumberFormat="1" applyFont="1" applyFill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1" fontId="1" fillId="2" borderId="17" xfId="1" applyNumberFormat="1" applyFont="1" applyFill="1" applyBorder="1" applyAlignment="1">
      <alignment horizontal="center" vertical="center" wrapText="1"/>
    </xf>
    <xf numFmtId="1" fontId="1" fillId="3" borderId="18" xfId="1" applyNumberFormat="1" applyFont="1" applyFill="1" applyBorder="1" applyAlignment="1">
      <alignment horizontal="center" vertical="center" wrapText="1"/>
    </xf>
    <xf numFmtId="1" fontId="1" fillId="2" borderId="19" xfId="1" applyNumberFormat="1" applyFont="1" applyFill="1" applyBorder="1" applyAlignment="1">
      <alignment horizontal="center" vertical="center" wrapText="1"/>
    </xf>
    <xf numFmtId="1" fontId="1" fillId="3" borderId="20" xfId="1" applyNumberFormat="1" applyFont="1" applyFill="1" applyBorder="1" applyAlignment="1">
      <alignment horizontal="center" vertical="center" wrapText="1"/>
    </xf>
    <xf numFmtId="1" fontId="2" fillId="2" borderId="17" xfId="1" applyNumberFormat="1" applyFill="1" applyBorder="1" applyAlignment="1">
      <alignment horizontal="center" vertical="center" wrapText="1"/>
    </xf>
    <xf numFmtId="1" fontId="2" fillId="3" borderId="18" xfId="1" applyNumberFormat="1" applyFill="1" applyBorder="1" applyAlignment="1">
      <alignment horizontal="center" vertical="center" wrapText="1"/>
    </xf>
    <xf numFmtId="1" fontId="2" fillId="2" borderId="19" xfId="1" applyNumberFormat="1" applyFill="1" applyBorder="1" applyAlignment="1">
      <alignment horizontal="center" vertical="center" wrapText="1"/>
    </xf>
    <xf numFmtId="1" fontId="2" fillId="3" borderId="20" xfId="1" applyNumberFormat="1" applyFill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1" fontId="1" fillId="2" borderId="7" xfId="1" applyNumberFormat="1" applyFont="1" applyFill="1" applyBorder="1" applyAlignment="1">
      <alignment horizontal="center" vertical="center" wrapText="1"/>
    </xf>
    <xf numFmtId="1" fontId="2" fillId="3" borderId="8" xfId="1" applyNumberFormat="1" applyFill="1" applyBorder="1" applyAlignment="1">
      <alignment horizontal="center" vertical="center" wrapText="1"/>
    </xf>
    <xf numFmtId="1" fontId="1" fillId="2" borderId="9" xfId="1" applyNumberFormat="1" applyFont="1" applyFill="1" applyBorder="1" applyAlignment="1">
      <alignment horizontal="center" vertical="center" wrapText="1"/>
    </xf>
    <xf numFmtId="1" fontId="2" fillId="3" borderId="10" xfId="1" applyNumberFormat="1" applyFill="1" applyBorder="1" applyAlignment="1">
      <alignment horizontal="center" vertical="center" wrapText="1"/>
    </xf>
    <xf numFmtId="1" fontId="1" fillId="3" borderId="12" xfId="1" applyNumberFormat="1" applyFont="1" applyFill="1" applyBorder="1" applyAlignment="1">
      <alignment horizontal="center" vertical="center" wrapText="1"/>
    </xf>
    <xf numFmtId="1" fontId="2" fillId="0" borderId="0" xfId="1" applyNumberFormat="1"/>
    <xf numFmtId="0" fontId="2" fillId="0" borderId="0" xfId="1" applyAlignment="1">
      <alignment horizontal="center"/>
    </xf>
    <xf numFmtId="164" fontId="2" fillId="0" borderId="0" xfId="1" applyNumberFormat="1"/>
    <xf numFmtId="165" fontId="2" fillId="0" borderId="0" xfId="1" applyNumberFormat="1"/>
    <xf numFmtId="1" fontId="2" fillId="0" borderId="0" xfId="1" applyNumberFormat="1" applyAlignment="1">
      <alignment horizontal="center"/>
    </xf>
    <xf numFmtId="165" fontId="2" fillId="0" borderId="22" xfId="1" applyNumberFormat="1" applyBorder="1"/>
    <xf numFmtId="9" fontId="2" fillId="0" borderId="0" xfId="1" applyNumberFormat="1"/>
    <xf numFmtId="2" fontId="2" fillId="0" borderId="0" xfId="1" applyNumberFormat="1"/>
    <xf numFmtId="10" fontId="2" fillId="0" borderId="0" xfId="1" applyNumberFormat="1"/>
    <xf numFmtId="0" fontId="1" fillId="3" borderId="2" xfId="1" applyFont="1" applyFill="1" applyBorder="1"/>
    <xf numFmtId="0" fontId="1" fillId="3" borderId="23" xfId="1" applyFont="1" applyFill="1" applyBorder="1"/>
    <xf numFmtId="164" fontId="1" fillId="3" borderId="23" xfId="1" applyNumberFormat="1" applyFont="1" applyFill="1" applyBorder="1"/>
    <xf numFmtId="0" fontId="2" fillId="0" borderId="1" xfId="1" applyBorder="1" applyAlignment="1">
      <alignment horizontal="center" vertical="center" wrapText="1"/>
    </xf>
    <xf numFmtId="1" fontId="2" fillId="0" borderId="2" xfId="1" applyNumberFormat="1" applyBorder="1" applyAlignment="1">
      <alignment horizontal="center" vertical="center"/>
    </xf>
    <xf numFmtId="1" fontId="2" fillId="0" borderId="3" xfId="1" applyNumberFormat="1" applyBorder="1" applyAlignment="1">
      <alignment horizontal="center" vertical="center"/>
    </xf>
    <xf numFmtId="1" fontId="2" fillId="0" borderId="4" xfId="1" applyNumberFormat="1" applyBorder="1" applyAlignment="1">
      <alignment horizontal="center" vertical="center"/>
    </xf>
    <xf numFmtId="0" fontId="2" fillId="0" borderId="17" xfId="1" applyBorder="1"/>
    <xf numFmtId="0" fontId="2" fillId="0" borderId="22" xfId="1" applyBorder="1"/>
    <xf numFmtId="164" fontId="2" fillId="0" borderId="22" xfId="1" applyNumberFormat="1" applyBorder="1"/>
    <xf numFmtId="164" fontId="2" fillId="0" borderId="18" xfId="1" applyNumberFormat="1" applyBorder="1"/>
    <xf numFmtId="0" fontId="2" fillId="0" borderId="16" xfId="1" applyBorder="1"/>
    <xf numFmtId="1" fontId="2" fillId="0" borderId="24" xfId="1" applyNumberFormat="1" applyBorder="1" applyAlignment="1">
      <alignment horizontal="center" vertical="center"/>
    </xf>
    <xf numFmtId="1" fontId="2" fillId="0" borderId="25" xfId="1" applyNumberFormat="1" applyBorder="1" applyAlignment="1">
      <alignment horizontal="center" vertical="center"/>
    </xf>
    <xf numFmtId="0" fontId="1" fillId="0" borderId="17" xfId="1" applyFont="1" applyBorder="1"/>
    <xf numFmtId="0" fontId="1" fillId="0" borderId="22" xfId="1" applyFont="1" applyBorder="1"/>
    <xf numFmtId="43" fontId="1" fillId="0" borderId="22" xfId="2" applyFont="1" applyBorder="1"/>
    <xf numFmtId="43" fontId="1" fillId="0" borderId="18" xfId="2" applyFont="1" applyBorder="1"/>
    <xf numFmtId="166" fontId="2" fillId="0" borderId="26" xfId="1" applyNumberFormat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1" fillId="0" borderId="27" xfId="1" applyFont="1" applyBorder="1" applyAlignment="1">
      <alignment horizontal="center" vertical="center" wrapText="1"/>
    </xf>
    <xf numFmtId="43" fontId="1" fillId="0" borderId="28" xfId="2" applyFont="1" applyBorder="1" applyAlignment="1">
      <alignment horizontal="center" vertical="center"/>
    </xf>
    <xf numFmtId="43" fontId="1" fillId="0" borderId="29" xfId="2" applyFont="1" applyBorder="1" applyAlignment="1">
      <alignment horizontal="center" vertical="center"/>
    </xf>
    <xf numFmtId="43" fontId="1" fillId="0" borderId="30" xfId="2" applyFont="1" applyBorder="1" applyAlignment="1">
      <alignment horizontal="center" vertical="center"/>
    </xf>
    <xf numFmtId="0" fontId="1" fillId="0" borderId="7" xfId="1" applyFont="1" applyBorder="1"/>
    <xf numFmtId="0" fontId="1" fillId="0" borderId="31" xfId="1" applyFont="1" applyBorder="1"/>
    <xf numFmtId="43" fontId="1" fillId="0" borderId="31" xfId="2" applyFont="1" applyBorder="1"/>
    <xf numFmtId="164" fontId="1" fillId="0" borderId="27" xfId="1" applyNumberFormat="1" applyFont="1" applyBorder="1"/>
    <xf numFmtId="164" fontId="1" fillId="0" borderId="32" xfId="1" applyNumberFormat="1" applyFont="1" applyBorder="1"/>
    <xf numFmtId="164" fontId="1" fillId="0" borderId="33" xfId="1" applyNumberFormat="1" applyFont="1" applyBorder="1"/>
    <xf numFmtId="0" fontId="1" fillId="0" borderId="34" xfId="1" applyFont="1" applyBorder="1"/>
    <xf numFmtId="0" fontId="3" fillId="0" borderId="0" xfId="1" applyFont="1"/>
    <xf numFmtId="0" fontId="2" fillId="0" borderId="35" xfId="1" applyBorder="1" applyAlignment="1">
      <alignment horizontal="center" vertical="center" wrapText="1"/>
    </xf>
    <xf numFmtId="1" fontId="2" fillId="0" borderId="36" xfId="1" applyNumberFormat="1" applyBorder="1" applyAlignment="1">
      <alignment horizontal="center" vertical="center"/>
    </xf>
    <xf numFmtId="1" fontId="2" fillId="0" borderId="37" xfId="1" applyNumberFormat="1" applyBorder="1" applyAlignment="1">
      <alignment horizontal="center" vertical="center"/>
    </xf>
    <xf numFmtId="0" fontId="2" fillId="0" borderId="38" xfId="1" applyBorder="1"/>
    <xf numFmtId="1" fontId="2" fillId="0" borderId="17" xfId="1" applyNumberFormat="1" applyBorder="1" applyAlignment="1">
      <alignment horizontal="center" vertical="center"/>
    </xf>
    <xf numFmtId="0" fontId="2" fillId="0" borderId="38" xfId="1" applyBorder="1" applyAlignment="1">
      <alignment horizontal="center" vertical="center" wrapText="1"/>
    </xf>
    <xf numFmtId="166" fontId="2" fillId="0" borderId="17" xfId="1" applyNumberFormat="1" applyBorder="1" applyAlignment="1">
      <alignment horizontal="center" vertical="center"/>
    </xf>
    <xf numFmtId="166" fontId="2" fillId="0" borderId="18" xfId="1" applyNumberFormat="1" applyBorder="1" applyAlignment="1">
      <alignment horizontal="center" vertical="center"/>
    </xf>
    <xf numFmtId="166" fontId="2" fillId="0" borderId="19" xfId="1" applyNumberFormat="1" applyBorder="1" applyAlignment="1">
      <alignment horizontal="center" vertical="center"/>
    </xf>
    <xf numFmtId="0" fontId="2" fillId="0" borderId="39" xfId="1" applyBorder="1" applyAlignment="1">
      <alignment horizontal="center" vertical="center" wrapText="1"/>
    </xf>
    <xf numFmtId="0" fontId="2" fillId="0" borderId="17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167" fontId="2" fillId="0" borderId="0" xfId="1" applyNumberFormat="1"/>
    <xf numFmtId="0" fontId="1" fillId="0" borderId="0" xfId="1" applyFont="1"/>
    <xf numFmtId="0" fontId="1" fillId="0" borderId="26" xfId="1" applyFont="1" applyBorder="1"/>
    <xf numFmtId="0" fontId="2" fillId="0" borderId="27" xfId="1" applyBorder="1" applyAlignment="1">
      <alignment horizontal="center" vertical="center"/>
    </xf>
    <xf numFmtId="0" fontId="2" fillId="0" borderId="26" xfId="1" applyBorder="1" applyAlignment="1">
      <alignment horizontal="center" vertical="center" wrapText="1"/>
    </xf>
    <xf numFmtId="0" fontId="2" fillId="0" borderId="32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/>
    </xf>
    <xf numFmtId="0" fontId="2" fillId="0" borderId="41" xfId="1" applyBorder="1"/>
    <xf numFmtId="0" fontId="2" fillId="0" borderId="13" xfId="1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0" fontId="2" fillId="0" borderId="35" xfId="1" applyBorder="1"/>
    <xf numFmtId="43" fontId="2" fillId="0" borderId="1" xfId="1" applyNumberFormat="1" applyBorder="1"/>
    <xf numFmtId="43" fontId="2" fillId="0" borderId="43" xfId="1" applyNumberFormat="1" applyBorder="1"/>
    <xf numFmtId="0" fontId="2" fillId="0" borderId="31" xfId="1" applyBorder="1"/>
    <xf numFmtId="0" fontId="2" fillId="0" borderId="8" xfId="1" applyBorder="1" applyAlignment="1">
      <alignment horizontal="center" vertical="center"/>
    </xf>
    <xf numFmtId="43" fontId="2" fillId="0" borderId="16" xfId="1" applyNumberFormat="1" applyBorder="1"/>
    <xf numFmtId="43" fontId="2" fillId="0" borderId="44" xfId="1" applyNumberFormat="1" applyBorder="1"/>
    <xf numFmtId="0" fontId="2" fillId="0" borderId="7" xfId="1" applyBorder="1" applyAlignment="1">
      <alignment horizontal="center" vertical="center"/>
    </xf>
    <xf numFmtId="0" fontId="2" fillId="0" borderId="45" xfId="1" applyBorder="1"/>
    <xf numFmtId="43" fontId="2" fillId="0" borderId="6" xfId="1" applyNumberFormat="1" applyBorder="1"/>
    <xf numFmtId="43" fontId="2" fillId="0" borderId="46" xfId="1" applyNumberFormat="1" applyBorder="1"/>
    <xf numFmtId="0" fontId="2" fillId="0" borderId="2" xfId="1" applyBorder="1" applyAlignment="1">
      <alignment horizontal="center" vertical="center"/>
    </xf>
    <xf numFmtId="0" fontId="2" fillId="0" borderId="23" xfId="1" applyBorder="1"/>
    <xf numFmtId="0" fontId="2" fillId="0" borderId="3" xfId="1" applyBorder="1" applyAlignment="1">
      <alignment horizontal="center" vertical="center"/>
    </xf>
    <xf numFmtId="0" fontId="2" fillId="0" borderId="27" xfId="1" applyBorder="1"/>
    <xf numFmtId="164" fontId="2" fillId="0" borderId="26" xfId="1" applyNumberFormat="1" applyBorder="1"/>
    <xf numFmtId="164" fontId="2" fillId="0" borderId="32" xfId="1" applyNumberFormat="1" applyBorder="1"/>
    <xf numFmtId="164" fontId="1" fillId="0" borderId="0" xfId="1" applyNumberFormat="1" applyFont="1"/>
    <xf numFmtId="0" fontId="5" fillId="0" borderId="0" xfId="0" applyFont="1"/>
    <xf numFmtId="0" fontId="0" fillId="4" borderId="0" xfId="0" applyFill="1"/>
    <xf numFmtId="0" fontId="6" fillId="4" borderId="26" xfId="3" applyFont="1" applyFill="1" applyBorder="1" applyAlignment="1">
      <alignment horizontal="center" vertical="center"/>
    </xf>
    <xf numFmtId="3" fontId="6" fillId="4" borderId="26" xfId="3" applyNumberFormat="1" applyFont="1" applyFill="1" applyBorder="1" applyAlignment="1">
      <alignment horizontal="center" vertical="center" wrapText="1"/>
    </xf>
    <xf numFmtId="4" fontId="6" fillId="4" borderId="26" xfId="3" applyNumberFormat="1" applyFont="1" applyFill="1" applyBorder="1" applyAlignment="1">
      <alignment horizontal="center" vertical="center" wrapText="1"/>
    </xf>
    <xf numFmtId="3" fontId="7" fillId="4" borderId="26" xfId="3" applyNumberFormat="1" applyFont="1" applyFill="1" applyBorder="1" applyAlignment="1">
      <alignment horizontal="center"/>
    </xf>
    <xf numFmtId="0" fontId="9" fillId="4" borderId="26" xfId="0" applyFont="1" applyFill="1" applyBorder="1" applyAlignment="1">
      <alignment vertical="center" wrapText="1"/>
    </xf>
    <xf numFmtId="4" fontId="6" fillId="4" borderId="26" xfId="3" applyNumberFormat="1" applyFont="1" applyFill="1" applyBorder="1" applyAlignment="1">
      <alignment vertical="center" wrapText="1"/>
    </xf>
    <xf numFmtId="4" fontId="7" fillId="4" borderId="26" xfId="3" applyNumberFormat="1" applyFont="1" applyFill="1" applyBorder="1" applyAlignment="1">
      <alignment horizontal="center" vertical="center" wrapText="1"/>
    </xf>
    <xf numFmtId="3" fontId="7" fillId="4" borderId="26" xfId="3" applyNumberFormat="1" applyFont="1" applyFill="1" applyBorder="1" applyAlignment="1">
      <alignment horizontal="center" wrapText="1"/>
    </xf>
    <xf numFmtId="4" fontId="7" fillId="4" borderId="26" xfId="3" applyNumberFormat="1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13" fillId="0" borderId="0" xfId="0" applyFont="1"/>
    <xf numFmtId="168" fontId="6" fillId="4" borderId="26" xfId="3" applyNumberFormat="1" applyFont="1" applyFill="1" applyBorder="1" applyAlignment="1">
      <alignment horizontal="center" vertical="center" wrapText="1"/>
    </xf>
    <xf numFmtId="168" fontId="7" fillId="4" borderId="26" xfId="3" applyNumberFormat="1" applyFont="1" applyFill="1" applyBorder="1" applyAlignment="1">
      <alignment horizontal="center" vertical="center" wrapText="1"/>
    </xf>
    <xf numFmtId="168" fontId="8" fillId="4" borderId="26" xfId="3" applyNumberFormat="1" applyFont="1" applyFill="1" applyBorder="1" applyAlignment="1">
      <alignment horizontal="center" vertical="center"/>
    </xf>
    <xf numFmtId="168" fontId="7" fillId="4" borderId="26" xfId="1" applyNumberFormat="1" applyFont="1" applyFill="1" applyBorder="1" applyAlignment="1">
      <alignment horizontal="center" vertical="center"/>
    </xf>
    <xf numFmtId="168" fontId="10" fillId="4" borderId="26" xfId="3" applyNumberFormat="1" applyFont="1" applyFill="1" applyBorder="1" applyAlignment="1">
      <alignment horizontal="center" vertical="center"/>
    </xf>
    <xf numFmtId="168" fontId="12" fillId="4" borderId="26" xfId="0" applyNumberFormat="1" applyFont="1" applyFill="1" applyBorder="1" applyAlignment="1">
      <alignment horizontal="center" vertical="center"/>
    </xf>
    <xf numFmtId="168" fontId="6" fillId="4" borderId="26" xfId="3" applyNumberFormat="1" applyFont="1" applyFill="1" applyBorder="1" applyAlignment="1">
      <alignment vertical="center" wrapText="1"/>
    </xf>
    <xf numFmtId="168" fontId="12" fillId="4" borderId="26" xfId="0" applyNumberFormat="1" applyFont="1" applyFill="1" applyBorder="1" applyAlignment="1">
      <alignment vertical="center"/>
    </xf>
    <xf numFmtId="168" fontId="12" fillId="4" borderId="2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164" fontId="1" fillId="0" borderId="27" xfId="1" applyNumberFormat="1" applyFont="1" applyBorder="1" applyAlignment="1">
      <alignment horizontal="center"/>
    </xf>
    <xf numFmtId="0" fontId="1" fillId="0" borderId="32" xfId="1" applyFont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7" xfId="1" applyFont="1" applyBorder="1" applyAlignment="1">
      <alignment horizontal="center"/>
    </xf>
    <xf numFmtId="0" fontId="1" fillId="0" borderId="40" xfId="1" applyFont="1" applyBorder="1" applyAlignment="1">
      <alignment horizontal="center"/>
    </xf>
    <xf numFmtId="0" fontId="1" fillId="0" borderId="27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2" fillId="0" borderId="21" xfId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11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3" fontId="6" fillId="4" borderId="28" xfId="3" applyNumberFormat="1" applyFont="1" applyFill="1" applyBorder="1" applyAlignment="1">
      <alignment horizontal="center" vertical="center" wrapText="1"/>
    </xf>
    <xf numFmtId="3" fontId="6" fillId="4" borderId="48" xfId="3" applyNumberFormat="1" applyFont="1" applyFill="1" applyBorder="1" applyAlignment="1">
      <alignment horizontal="center" vertical="center" wrapText="1"/>
    </xf>
    <xf numFmtId="3" fontId="6" fillId="4" borderId="49" xfId="3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6" fillId="4" borderId="26" xfId="3" applyFont="1" applyFill="1" applyBorder="1" applyAlignment="1">
      <alignment horizontal="center" vertical="center" wrapText="1"/>
    </xf>
    <xf numFmtId="0" fontId="6" fillId="4" borderId="26" xfId="3" applyFont="1" applyFill="1" applyBorder="1" applyAlignment="1">
      <alignment horizontal="center" vertical="center"/>
    </xf>
    <xf numFmtId="3" fontId="6" fillId="4" borderId="28" xfId="3" applyNumberFormat="1" applyFont="1" applyFill="1" applyBorder="1" applyAlignment="1">
      <alignment horizontal="center" vertical="center"/>
    </xf>
    <xf numFmtId="3" fontId="6" fillId="4" borderId="48" xfId="3" applyNumberFormat="1" applyFont="1" applyFill="1" applyBorder="1" applyAlignment="1">
      <alignment horizontal="center" vertical="center"/>
    </xf>
    <xf numFmtId="3" fontId="6" fillId="4" borderId="49" xfId="3" applyNumberFormat="1" applyFont="1" applyFill="1" applyBorder="1" applyAlignment="1">
      <alignment horizontal="center" vertical="center"/>
    </xf>
    <xf numFmtId="4" fontId="6" fillId="4" borderId="28" xfId="3" applyNumberFormat="1" applyFont="1" applyFill="1" applyBorder="1" applyAlignment="1">
      <alignment horizontal="center" vertical="center" wrapText="1"/>
    </xf>
    <xf numFmtId="4" fontId="6" fillId="4" borderId="49" xfId="3" applyNumberFormat="1" applyFont="1" applyFill="1" applyBorder="1" applyAlignment="1">
      <alignment horizontal="center" vertical="center" wrapText="1"/>
    </xf>
    <xf numFmtId="4" fontId="6" fillId="4" borderId="1" xfId="3" applyNumberFormat="1" applyFont="1" applyFill="1" applyBorder="1" applyAlignment="1">
      <alignment horizontal="center" vertical="center" wrapText="1"/>
    </xf>
    <xf numFmtId="4" fontId="6" fillId="4" borderId="47" xfId="3" applyNumberFormat="1" applyFont="1" applyFill="1" applyBorder="1" applyAlignment="1">
      <alignment horizontal="center" vertical="center" wrapText="1"/>
    </xf>
    <xf numFmtId="4" fontId="6" fillId="4" borderId="26" xfId="3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Финансов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1054;&#1073;&#1097;&#1072;&#1103;\&#1041;&#1055;%202023-2025_&#1047;&#1040;&#1071;&#1042;&#1050;&#1048;%20&#1057;&#1051;&#1059;&#1046;&#1041;\&#1055;&#1058;&#1054;\&#1044;&#1077;&#1090;&#1072;&#1083;&#1100;&#1085;&#1099;&#1077;%20&#1088;&#1072;&#1089;&#1095;&#1077;&#1090;&#1099;\&#1041;&#1055;%202023-2025%20(16.08.2022)\&#1056;&#1072;&#1089;&#1095;&#1077;&#1090;%20&#1087;&#1086;&#1090;&#1088;&#1077;&#1073;&#1085;&#1086;&#1089;&#1090;&#1080;%20&#1053;&#1050;&#1058;%20&#1074;%20&#1088;&#1077;&#1084;&#1086;&#1085;&#1090;%20&#1086;&#1090;%2027.09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1055;&#1088;&#1086;&#1080;&#1079;&#1074;&#1086;&#1076;&#1089;&#1090;&#1074;&#1086;\&#1057;&#1043;&#1048;\3%20&#1059;&#1044;&#1053;&#1043;\&#1053;&#1050;&#1058;\&#1058;&#1052;&#1050;%20&#1053;&#1077;&#1092;&#1090;&#1077;&#1075;&#1072;&#1079;&#1089;&#1077;&#1088;&#1074;&#1080;&#1089;-&#1041;&#1091;&#1079;&#1091;&#1083;&#1091;&#1082;%20&#1058;&#1058;&#1053;%20&#1085;&#1072;%20&#1086;&#1090;&#1087;&#1088;&#1072;&#1074;&#1082;&#1091;%20&#1053;&#1050;&#1058;\&#1055;&#1088;&#1086;&#1080;&#1079;&#1074;&#1086;&#1076;&#1089;&#1090;&#1074;&#1077;&#1085;&#1085;&#1072;&#1103;%20&#1087;&#1088;&#1086;&#1075;&#1088;&#1072;&#1084;&#1084;&#1072;+%20&#1092;&#1072;&#1082;&#1090;%202022%20&#1055;&#1056;&#10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1055;&#1088;&#1086;&#1080;&#1079;&#1074;&#1086;&#1076;&#1089;&#1090;&#1074;&#1086;\&#1057;&#1043;&#1048;\3%20&#1059;&#1044;&#1053;&#1043;\&#1053;&#1050;&#1058;\&#1058;&#1052;&#1050;%20&#1053;&#1077;&#1092;&#1090;&#1077;&#1075;&#1072;&#1079;&#1089;&#1077;&#1088;&#1074;&#1080;&#1089;-&#1041;&#1091;&#1079;&#1091;&#1083;&#1091;&#1082;%20&#1058;&#1058;&#1053;%20&#1085;&#1072;%20&#1086;&#1090;&#1087;&#1088;&#1072;&#1074;&#1082;&#1091;%20&#1053;&#1050;&#1058;\&#1055;&#1088;&#1086;&#1080;&#1079;&#1074;&#1086;&#1076;&#1089;&#1090;&#1074;&#1077;&#1085;&#1085;&#1072;&#1103;%20&#1087;&#1088;&#1086;&#1075;&#1088;&#1072;&#1084;&#1084;&#1072;+%20&#1092;&#1072;&#1082;&#1090;%202022%20&#1054;&#1043;&#105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1055;&#1088;&#1086;&#1080;&#1079;&#1074;&#1086;&#1076;&#1089;&#1090;&#1074;&#1086;\&#1057;&#1043;&#1048;\3%20&#1059;&#1044;&#1053;&#1043;\&#1053;&#1050;&#1058;\&#1058;&#1052;&#1050;%20&#1053;&#1077;&#1092;&#1090;&#1077;&#1075;&#1072;&#1079;&#1089;&#1077;&#1088;&#1074;&#1080;&#1089;-&#1041;&#1091;&#1079;&#1091;&#1083;&#1091;&#1082;%20&#1058;&#1058;&#1053;%20&#1085;&#1072;%20&#1086;&#1090;&#1087;&#1088;&#1072;&#1074;&#1082;&#1091;%20&#1053;&#1050;&#1058;\&#1055;&#1088;&#1086;&#1080;&#1079;&#1074;&#1086;&#1076;&#1089;&#1090;&#1074;&#1077;&#1085;&#1085;&#1072;&#1103;%20&#1087;&#1088;&#1086;&#1075;&#1088;&#1072;&#1084;&#1084;&#1072;+%20&#1092;&#1072;&#1082;&#1090;%202022%20&#1043;&#1045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ОГТ"/>
      <sheetName val="ГЕО"/>
      <sheetName val="ПН"/>
      <sheetName val="СКЛАД НКТ"/>
      <sheetName val="УД-13"/>
      <sheetName val="СПУСК НОВОЙ"/>
      <sheetName val="СПУСК РЕМ"/>
      <sheetName val="Лист4"/>
      <sheetName val="УД-13 (2)"/>
    </sheetNames>
    <sheetDataSet>
      <sheetData sheetId="0"/>
      <sheetData sheetId="1">
        <row r="102">
          <cell r="Y102">
            <v>17301.219999999998</v>
          </cell>
          <cell r="Z102">
            <v>4579.6399999999994</v>
          </cell>
          <cell r="AA102">
            <v>5136.88</v>
          </cell>
          <cell r="AB102">
            <v>7353.7000000000007</v>
          </cell>
          <cell r="AC102">
            <v>5758.19</v>
          </cell>
          <cell r="AD102">
            <v>2416.16</v>
          </cell>
        </row>
      </sheetData>
      <sheetData sheetId="2">
        <row r="88">
          <cell r="AA88">
            <v>16291.920000000002</v>
          </cell>
          <cell r="AB88">
            <v>13354.49</v>
          </cell>
          <cell r="AC88">
            <v>11163.809999999998</v>
          </cell>
          <cell r="AD88">
            <v>15846.36</v>
          </cell>
          <cell r="AE88">
            <v>6290.18</v>
          </cell>
          <cell r="AF88">
            <v>8845.17</v>
          </cell>
        </row>
      </sheetData>
      <sheetData sheetId="3">
        <row r="70">
          <cell r="AA70">
            <v>21170.720000000001</v>
          </cell>
          <cell r="AB70">
            <v>25073.05</v>
          </cell>
          <cell r="AC70">
            <v>8859.76</v>
          </cell>
          <cell r="AD70">
            <v>7722.329999999999</v>
          </cell>
          <cell r="AE70">
            <v>8426.6</v>
          </cell>
          <cell r="AF70">
            <v>10708.67</v>
          </cell>
        </row>
      </sheetData>
      <sheetData sheetId="4"/>
      <sheetData sheetId="5"/>
      <sheetData sheetId="6"/>
      <sheetData sheetId="7"/>
      <sheetData sheetId="8"/>
      <sheetData sheetId="9">
        <row r="39">
          <cell r="D39">
            <v>355.56211180124222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Ф+ План"/>
      <sheetName val="2022"/>
      <sheetName val="2021 "/>
      <sheetName val="Лист2"/>
      <sheetName val="Лист3"/>
    </sheetNames>
    <sheetDataSet>
      <sheetData sheetId="0">
        <row r="34">
          <cell r="L34">
            <v>9500630.2899999991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Ф+ План"/>
      <sheetName val="2022"/>
      <sheetName val="2021 "/>
      <sheetName val="Лист2"/>
      <sheetName val="Лист3"/>
    </sheetNames>
    <sheetDataSet>
      <sheetData sheetId="0">
        <row r="24">
          <cell r="M24">
            <v>2735347.38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Ф+ План"/>
      <sheetName val="2022"/>
      <sheetName val="2021 "/>
      <sheetName val="Лист2"/>
      <sheetName val="Лист3"/>
    </sheetNames>
    <sheetDataSet>
      <sheetData sheetId="0" refreshError="1"/>
      <sheetData sheetId="1">
        <row r="12">
          <cell r="R12">
            <v>2214046.7999999998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6"/>
  <sheetViews>
    <sheetView view="pageBreakPreview" topLeftCell="A34" zoomScaleNormal="100" zoomScaleSheetLayoutView="100" workbookViewId="0">
      <selection activeCell="C68" sqref="C68"/>
    </sheetView>
  </sheetViews>
  <sheetFormatPr defaultRowHeight="15" x14ac:dyDescent="0.25"/>
  <cols>
    <col min="1" max="1" width="11.28515625" style="1" customWidth="1"/>
    <col min="2" max="2" width="24.140625" style="1" customWidth="1"/>
    <col min="3" max="3" width="19.85546875" style="1" customWidth="1"/>
    <col min="4" max="4" width="18.7109375" style="1" customWidth="1"/>
    <col min="5" max="5" width="16.85546875" style="1" customWidth="1"/>
    <col min="6" max="6" width="18.28515625" style="1" customWidth="1"/>
    <col min="7" max="7" width="18.140625" style="1" customWidth="1"/>
    <col min="8" max="8" width="18.85546875" style="1" customWidth="1"/>
    <col min="9" max="9" width="17.85546875" style="1" customWidth="1"/>
    <col min="10" max="10" width="47" style="1" customWidth="1"/>
    <col min="11" max="11" width="17.7109375" style="1" customWidth="1"/>
    <col min="12" max="12" width="17.85546875" style="1" customWidth="1"/>
    <col min="13" max="13" width="12.28515625" style="1" customWidth="1"/>
    <col min="14" max="14" width="19.7109375" style="1" customWidth="1"/>
    <col min="15" max="15" width="11" style="1" bestFit="1" customWidth="1"/>
    <col min="16" max="16" width="16.7109375" style="1" customWidth="1"/>
    <col min="17" max="17" width="11.28515625" style="1" customWidth="1"/>
    <col min="18" max="18" width="11.140625" style="1" customWidth="1"/>
    <col min="19" max="16384" width="9.140625" style="1"/>
  </cols>
  <sheetData>
    <row r="2" spans="1:14" x14ac:dyDescent="0.25">
      <c r="B2" s="1" t="s">
        <v>0</v>
      </c>
    </row>
    <row r="3" spans="1:14" ht="15.75" thickBot="1" x14ac:dyDescent="0.3"/>
    <row r="4" spans="1:14" x14ac:dyDescent="0.25">
      <c r="A4" s="135" t="s">
        <v>1</v>
      </c>
      <c r="B4" s="137" t="s">
        <v>2</v>
      </c>
      <c r="C4" s="139">
        <v>2023</v>
      </c>
      <c r="D4" s="140"/>
      <c r="E4" s="146">
        <v>2024</v>
      </c>
      <c r="F4" s="147"/>
      <c r="G4" s="139">
        <v>2025</v>
      </c>
      <c r="H4" s="140"/>
    </row>
    <row r="5" spans="1:14" ht="15.75" thickBot="1" x14ac:dyDescent="0.3">
      <c r="A5" s="136"/>
      <c r="B5" s="138"/>
      <c r="C5" s="2" t="s">
        <v>3</v>
      </c>
      <c r="D5" s="3" t="s">
        <v>4</v>
      </c>
      <c r="E5" s="4" t="s">
        <v>3</v>
      </c>
      <c r="F5" s="5" t="s">
        <v>4</v>
      </c>
      <c r="G5" s="2" t="s">
        <v>3</v>
      </c>
      <c r="H5" s="3" t="s">
        <v>4</v>
      </c>
    </row>
    <row r="6" spans="1:14" x14ac:dyDescent="0.25">
      <c r="A6" s="148" t="s">
        <v>5</v>
      </c>
      <c r="B6" s="6" t="s">
        <v>6</v>
      </c>
      <c r="C6" s="7">
        <f>[1]ПН!AA70</f>
        <v>21170.720000000001</v>
      </c>
      <c r="D6" s="8">
        <f>[1]ПН!AB70</f>
        <v>25073.05</v>
      </c>
      <c r="E6" s="9">
        <f>[1]ПН!AC70</f>
        <v>8859.76</v>
      </c>
      <c r="F6" s="10">
        <f>[1]ПН!AD70</f>
        <v>7722.329999999999</v>
      </c>
      <c r="G6" s="7">
        <f>[1]ПН!AE70</f>
        <v>8426.6</v>
      </c>
      <c r="H6" s="8">
        <f>[1]ПН!AF70</f>
        <v>10708.67</v>
      </c>
    </row>
    <row r="7" spans="1:14" x14ac:dyDescent="0.25">
      <c r="A7" s="149"/>
      <c r="B7" s="11" t="s">
        <v>7</v>
      </c>
      <c r="C7" s="12">
        <f>C6/8.5</f>
        <v>2490.6729411764709</v>
      </c>
      <c r="D7" s="13">
        <f>D6/9.2</f>
        <v>2725.3315217391305</v>
      </c>
      <c r="E7" s="14">
        <f>E6/8.5</f>
        <v>1042.3247058823529</v>
      </c>
      <c r="F7" s="15">
        <f>F6/9.2</f>
        <v>839.38369565217386</v>
      </c>
      <c r="G7" s="12">
        <f>G6/8.5</f>
        <v>991.36470588235295</v>
      </c>
      <c r="H7" s="13">
        <f>H6/9.2</f>
        <v>1163.9858695652174</v>
      </c>
    </row>
    <row r="8" spans="1:14" x14ac:dyDescent="0.25">
      <c r="A8" s="149"/>
      <c r="B8" s="11" t="s">
        <v>8</v>
      </c>
      <c r="C8" s="12">
        <f>C6*0.0092</f>
        <v>194.770624</v>
      </c>
      <c r="D8" s="13">
        <f>D6*0.0096</f>
        <v>240.70127999999997</v>
      </c>
      <c r="E8" s="14">
        <f>E6*0.0092</f>
        <v>81.509792000000004</v>
      </c>
      <c r="F8" s="15">
        <f>F6*0.0096</f>
        <v>74.134367999999981</v>
      </c>
      <c r="G8" s="12">
        <f>G6*0.0092</f>
        <v>77.524720000000002</v>
      </c>
      <c r="H8" s="13">
        <f>H6*0.0096</f>
        <v>102.80323199999999</v>
      </c>
      <c r="K8" s="1">
        <v>2035</v>
      </c>
      <c r="L8" s="1" t="s">
        <v>9</v>
      </c>
    </row>
    <row r="9" spans="1:14" x14ac:dyDescent="0.25">
      <c r="A9" s="149"/>
      <c r="B9" s="11" t="s">
        <v>6</v>
      </c>
      <c r="C9" s="16">
        <f>C8*1.2</f>
        <v>233.72474879999999</v>
      </c>
      <c r="D9" s="17">
        <f>D8*0.4</f>
        <v>96.280511999999987</v>
      </c>
      <c r="E9" s="18">
        <f>E8*1.2</f>
        <v>97.811750400000008</v>
      </c>
      <c r="F9" s="19">
        <f>F8*0.4</f>
        <v>29.653747199999994</v>
      </c>
      <c r="G9" s="16">
        <f>G8*1.2</f>
        <v>93.029663999999997</v>
      </c>
      <c r="H9" s="17">
        <f>H8*0.4</f>
        <v>41.121292799999999</v>
      </c>
    </row>
    <row r="10" spans="1:14" ht="15.75" thickBot="1" x14ac:dyDescent="0.3">
      <c r="A10" s="136"/>
      <c r="B10" s="20" t="s">
        <v>8</v>
      </c>
      <c r="C10" s="21">
        <f>C9*0.0092</f>
        <v>2.1502676889599996</v>
      </c>
      <c r="D10" s="22">
        <f t="shared" ref="D10:H10" si="0">D9*0.0092</f>
        <v>0.88578071039999984</v>
      </c>
      <c r="E10" s="23">
        <f t="shared" si="0"/>
        <v>0.89986810368000003</v>
      </c>
      <c r="F10" s="24">
        <f t="shared" si="0"/>
        <v>0.27281447423999994</v>
      </c>
      <c r="G10" s="21">
        <f t="shared" si="0"/>
        <v>0.8558729088</v>
      </c>
      <c r="H10" s="22">
        <f t="shared" si="0"/>
        <v>0.37831589375999997</v>
      </c>
    </row>
    <row r="11" spans="1:14" x14ac:dyDescent="0.25">
      <c r="A11" s="148" t="s">
        <v>10</v>
      </c>
      <c r="B11" s="6" t="s">
        <v>6</v>
      </c>
      <c r="C11" s="7">
        <f>[1]ОГТ!Y102</f>
        <v>17301.219999999998</v>
      </c>
      <c r="D11" s="25">
        <f>[1]ОГТ!Z102</f>
        <v>4579.6399999999994</v>
      </c>
      <c r="E11" s="7">
        <f>[1]ОГТ!AA102</f>
        <v>5136.88</v>
      </c>
      <c r="F11" s="25">
        <f>[1]ОГТ!AB102</f>
        <v>7353.7000000000007</v>
      </c>
      <c r="G11" s="7">
        <f>[1]ОГТ!AC102</f>
        <v>5758.19</v>
      </c>
      <c r="H11" s="25">
        <f>[1]ОГТ!AD102</f>
        <v>2416.16</v>
      </c>
      <c r="K11" s="1">
        <v>2035</v>
      </c>
    </row>
    <row r="12" spans="1:14" x14ac:dyDescent="0.25">
      <c r="A12" s="149"/>
      <c r="B12" s="11" t="s">
        <v>7</v>
      </c>
      <c r="C12" s="12">
        <f>C11/8.5</f>
        <v>2035.4376470588231</v>
      </c>
      <c r="D12" s="13">
        <f>D11/9.2</f>
        <v>497.78695652173911</v>
      </c>
      <c r="E12" s="14">
        <f>E11/8.5</f>
        <v>604.3388235294118</v>
      </c>
      <c r="F12" s="15">
        <f>F11/9.2</f>
        <v>799.31521739130449</v>
      </c>
      <c r="G12" s="12">
        <f>G11/8.5</f>
        <v>677.43411764705877</v>
      </c>
      <c r="H12" s="13">
        <f>H11/9.2</f>
        <v>262.62608695652176</v>
      </c>
    </row>
    <row r="13" spans="1:14" x14ac:dyDescent="0.25">
      <c r="A13" s="149"/>
      <c r="B13" s="11" t="s">
        <v>8</v>
      </c>
      <c r="C13" s="12">
        <f>C11*0.0092</f>
        <v>159.17122399999997</v>
      </c>
      <c r="D13" s="13">
        <f>D11*0.0096</f>
        <v>43.964543999999989</v>
      </c>
      <c r="E13" s="14">
        <f>E11*0.0092</f>
        <v>47.259295999999999</v>
      </c>
      <c r="F13" s="15">
        <f>F11*0.0096</f>
        <v>70.595520000000008</v>
      </c>
      <c r="G13" s="12">
        <f>G11*0.0092</f>
        <v>52.975347999999997</v>
      </c>
      <c r="H13" s="13">
        <f>H11*0.0096</f>
        <v>23.195135999999998</v>
      </c>
    </row>
    <row r="14" spans="1:14" x14ac:dyDescent="0.25">
      <c r="A14" s="149"/>
      <c r="B14" s="11" t="s">
        <v>6</v>
      </c>
      <c r="C14" s="16">
        <f>C13*1.2</f>
        <v>191.00546879999996</v>
      </c>
      <c r="D14" s="17">
        <f>D13*0.4</f>
        <v>17.585817599999995</v>
      </c>
      <c r="E14" s="18">
        <f>E13*1.2</f>
        <v>56.7111552</v>
      </c>
      <c r="F14" s="19">
        <f>F13*0.4</f>
        <v>28.238208000000004</v>
      </c>
      <c r="G14" s="16">
        <f>G13*1.2</f>
        <v>63.570417599999992</v>
      </c>
      <c r="H14" s="17">
        <f>H13*0.4</f>
        <v>9.2780544000000003</v>
      </c>
    </row>
    <row r="15" spans="1:14" ht="15.75" thickBot="1" x14ac:dyDescent="0.3">
      <c r="A15" s="136"/>
      <c r="B15" s="20" t="s">
        <v>8</v>
      </c>
      <c r="C15" s="21">
        <f t="shared" ref="C15:H15" si="1">C14*0.0092</f>
        <v>1.7572503129599997</v>
      </c>
      <c r="D15" s="22">
        <f t="shared" si="1"/>
        <v>0.16178952191999996</v>
      </c>
      <c r="E15" s="23">
        <f t="shared" si="1"/>
        <v>0.52174262784000003</v>
      </c>
      <c r="F15" s="24">
        <f t="shared" si="1"/>
        <v>0.25979151360000002</v>
      </c>
      <c r="G15" s="21">
        <f t="shared" si="1"/>
        <v>0.58484784191999994</v>
      </c>
      <c r="H15" s="22">
        <f t="shared" si="1"/>
        <v>8.5358100480000004E-2</v>
      </c>
      <c r="K15" s="26">
        <f>(C30+D30)/4</f>
        <v>1005.5565392461333</v>
      </c>
    </row>
    <row r="16" spans="1:14" x14ac:dyDescent="0.25">
      <c r="A16" s="148" t="s">
        <v>11</v>
      </c>
      <c r="B16" s="6" t="s">
        <v>6</v>
      </c>
      <c r="C16" s="7">
        <f>[1]ГЕО!AA88</f>
        <v>16291.920000000002</v>
      </c>
      <c r="D16" s="25">
        <f>[1]ГЕО!AB88</f>
        <v>13354.49</v>
      </c>
      <c r="E16" s="7">
        <f>[1]ГЕО!AC88</f>
        <v>11163.809999999998</v>
      </c>
      <c r="F16" s="25">
        <f>[1]ГЕО!AD88</f>
        <v>15846.36</v>
      </c>
      <c r="G16" s="7">
        <f>[1]ГЕО!AE88</f>
        <v>6290.18</v>
      </c>
      <c r="H16" s="25">
        <f>[1]ГЕО!AF88</f>
        <v>8845.17</v>
      </c>
      <c r="L16" s="27" t="s">
        <v>12</v>
      </c>
      <c r="M16" s="27" t="s">
        <v>13</v>
      </c>
      <c r="N16" s="27" t="s">
        <v>14</v>
      </c>
    </row>
    <row r="17" spans="1:18" x14ac:dyDescent="0.25">
      <c r="A17" s="149"/>
      <c r="B17" s="11" t="s">
        <v>7</v>
      </c>
      <c r="C17" s="12">
        <f>C16/8.5</f>
        <v>1916.6964705882356</v>
      </c>
      <c r="D17" s="13">
        <f>D16/9.2</f>
        <v>1451.575</v>
      </c>
      <c r="E17" s="14">
        <f>E16/8.5</f>
        <v>1313.3894117647055</v>
      </c>
      <c r="F17" s="15">
        <f>F16/9.2</f>
        <v>1722.4304347826089</v>
      </c>
      <c r="G17" s="12">
        <f>G16/8.5</f>
        <v>740.02117647058822</v>
      </c>
      <c r="H17" s="13">
        <f>H16/9.2</f>
        <v>961.43152173913052</v>
      </c>
      <c r="L17" s="27">
        <v>300</v>
      </c>
      <c r="M17" s="27">
        <v>500</v>
      </c>
      <c r="N17" s="27">
        <v>206</v>
      </c>
      <c r="P17" s="28">
        <f>(P29+P34)*3</f>
        <v>6724.5975858128531</v>
      </c>
      <c r="Q17" s="29">
        <f>P17/3</f>
        <v>2241.5325286042844</v>
      </c>
    </row>
    <row r="18" spans="1:18" x14ac:dyDescent="0.25">
      <c r="A18" s="149"/>
      <c r="B18" s="11" t="s">
        <v>8</v>
      </c>
      <c r="C18" s="12">
        <f>C16*0.0092</f>
        <v>149.88566400000002</v>
      </c>
      <c r="D18" s="13">
        <f>D16*0.0096</f>
        <v>128.203104</v>
      </c>
      <c r="E18" s="14">
        <f>E16*0.0092</f>
        <v>102.70705199999998</v>
      </c>
      <c r="F18" s="15">
        <f>F16*0.0096</f>
        <v>152.125056</v>
      </c>
      <c r="G18" s="12">
        <f>G16*0.0092</f>
        <v>57.869655999999999</v>
      </c>
      <c r="H18" s="13">
        <f>H16*0.0096</f>
        <v>84.913631999999993</v>
      </c>
      <c r="K18" s="1" t="s">
        <v>15</v>
      </c>
      <c r="L18" s="30">
        <f>((L17*10*483.27/1000)+7460/12)*0.4</f>
        <v>828.59066666666661</v>
      </c>
      <c r="M18" s="30">
        <f t="shared" ref="M18:N18" si="2">((M17*10*483.27/1000)+7460/12)*0.4</f>
        <v>1215.2066666666667</v>
      </c>
      <c r="N18" s="30">
        <f t="shared" si="2"/>
        <v>646.88114666666661</v>
      </c>
    </row>
    <row r="19" spans="1:18" x14ac:dyDescent="0.25">
      <c r="A19" s="149"/>
      <c r="B19" s="11" t="s">
        <v>6</v>
      </c>
      <c r="C19" s="16">
        <f>C18*1.2</f>
        <v>179.86279680000001</v>
      </c>
      <c r="D19" s="17">
        <f>D18*0.4</f>
        <v>51.281241600000001</v>
      </c>
      <c r="E19" s="18">
        <f>E18*1.2</f>
        <v>123.24846239999997</v>
      </c>
      <c r="F19" s="19">
        <f>F18*0.4</f>
        <v>60.8500224</v>
      </c>
      <c r="G19" s="16">
        <f>G18*1.2</f>
        <v>69.443587199999996</v>
      </c>
      <c r="H19" s="17">
        <f>H18*0.4</f>
        <v>33.965452800000001</v>
      </c>
      <c r="K19" s="1" t="s">
        <v>16</v>
      </c>
      <c r="L19" s="30">
        <f>((L17*10*483.27/1000)+7460/12)*0.6</f>
        <v>1242.8859999999997</v>
      </c>
      <c r="M19" s="30">
        <f t="shared" ref="M19:N19" si="3">((M17*10*483.27/1000)+7460/12)*0.6</f>
        <v>1822.8099999999997</v>
      </c>
      <c r="N19" s="30">
        <f t="shared" si="3"/>
        <v>970.32171999999991</v>
      </c>
    </row>
    <row r="20" spans="1:18" ht="15.75" thickBot="1" x14ac:dyDescent="0.3">
      <c r="A20" s="136"/>
      <c r="B20" s="20" t="s">
        <v>8</v>
      </c>
      <c r="C20" s="21">
        <f t="shared" ref="C20:H20" si="4">C19*0.0092</f>
        <v>1.6547377305600002</v>
      </c>
      <c r="D20" s="22">
        <f t="shared" si="4"/>
        <v>0.47178742272000002</v>
      </c>
      <c r="E20" s="23">
        <f t="shared" si="4"/>
        <v>1.1338858540799996</v>
      </c>
      <c r="F20" s="24">
        <f t="shared" si="4"/>
        <v>0.55982020607999994</v>
      </c>
      <c r="G20" s="21">
        <f t="shared" si="4"/>
        <v>0.63888100224</v>
      </c>
      <c r="H20" s="22">
        <f t="shared" si="4"/>
        <v>0.31248216575999999</v>
      </c>
      <c r="L20" s="30">
        <f>SUM(L18:L19)</f>
        <v>2071.4766666666665</v>
      </c>
      <c r="M20" s="30">
        <f t="shared" ref="M20:N20" si="5">SUM(M18:M19)</f>
        <v>3038.0166666666664</v>
      </c>
      <c r="N20" s="30">
        <f t="shared" si="5"/>
        <v>1617.2028666666665</v>
      </c>
      <c r="P20" s="30">
        <f>SUM(L20:N20)</f>
        <v>6726.6961999999994</v>
      </c>
      <c r="Q20" s="30">
        <f>P20/3</f>
        <v>2242.2320666666665</v>
      </c>
      <c r="R20" s="1" t="s">
        <v>17</v>
      </c>
    </row>
    <row r="21" spans="1:18" x14ac:dyDescent="0.25">
      <c r="A21" s="148" t="s">
        <v>18</v>
      </c>
      <c r="B21" s="6" t="s">
        <v>6</v>
      </c>
      <c r="C21" s="7">
        <f t="shared" ref="C21:H21" si="6">C6+C11+C16</f>
        <v>54763.86</v>
      </c>
      <c r="D21" s="25">
        <f t="shared" si="6"/>
        <v>43007.18</v>
      </c>
      <c r="E21" s="7">
        <f t="shared" si="6"/>
        <v>25160.449999999997</v>
      </c>
      <c r="F21" s="25">
        <f t="shared" si="6"/>
        <v>30922.39</v>
      </c>
      <c r="G21" s="7">
        <f t="shared" si="6"/>
        <v>20474.97</v>
      </c>
      <c r="H21" s="25">
        <f t="shared" si="6"/>
        <v>21970</v>
      </c>
    </row>
    <row r="22" spans="1:18" x14ac:dyDescent="0.25">
      <c r="A22" s="149"/>
      <c r="B22" s="11" t="s">
        <v>7</v>
      </c>
      <c r="C22" s="12">
        <f>C21/8.5</f>
        <v>6442.8070588235296</v>
      </c>
      <c r="D22" s="13">
        <f>D21/9.2</f>
        <v>4674.6934782608696</v>
      </c>
      <c r="E22" s="14">
        <f>E21/8.5</f>
        <v>2960.0529411764701</v>
      </c>
      <c r="F22" s="15">
        <f>F21/9.2</f>
        <v>3361.1293478260873</v>
      </c>
      <c r="G22" s="12">
        <f>G21/8.5</f>
        <v>2408.8200000000002</v>
      </c>
      <c r="H22" s="13">
        <f>H21/9.2</f>
        <v>2388.04347826087</v>
      </c>
      <c r="K22" s="145" t="s">
        <v>19</v>
      </c>
      <c r="L22" s="31">
        <f>(C30+D30)*10*483.2/1000*0.4</f>
        <v>7774.1587162197065</v>
      </c>
      <c r="M22" s="32">
        <v>0.4</v>
      </c>
      <c r="N22" s="1" t="s">
        <v>15</v>
      </c>
      <c r="O22" s="1" t="s">
        <v>15</v>
      </c>
      <c r="P22" s="28">
        <f>L22+L26</f>
        <v>10758.229913976611</v>
      </c>
      <c r="R22" s="28">
        <f>P22/12</f>
        <v>896.51915949805095</v>
      </c>
    </row>
    <row r="23" spans="1:18" x14ac:dyDescent="0.25">
      <c r="A23" s="149"/>
      <c r="B23" s="11" t="s">
        <v>8</v>
      </c>
      <c r="C23" s="12">
        <f>C21*0.0092</f>
        <v>503.82751200000001</v>
      </c>
      <c r="D23" s="13">
        <f>D21*0.0096</f>
        <v>412.86892799999998</v>
      </c>
      <c r="E23" s="14">
        <f>E21*0.0092</f>
        <v>231.47613999999996</v>
      </c>
      <c r="F23" s="15">
        <f>F21*0.0096</f>
        <v>296.85494399999999</v>
      </c>
      <c r="G23" s="12">
        <f>G21*0.0092</f>
        <v>188.36972400000002</v>
      </c>
      <c r="H23" s="13">
        <f>H21*0.0096</f>
        <v>210.91199999999998</v>
      </c>
      <c r="K23" s="145"/>
      <c r="L23" s="31">
        <f>(C30+D30)*10*483.2/1000*0.6</f>
        <v>11661.238074329558</v>
      </c>
      <c r="M23" s="32">
        <v>0.6</v>
      </c>
      <c r="N23" s="1" t="s">
        <v>16</v>
      </c>
      <c r="O23" s="1" t="s">
        <v>16</v>
      </c>
      <c r="P23" s="28">
        <f>L23+L25</f>
        <v>16137.344870964913</v>
      </c>
      <c r="R23" s="28"/>
    </row>
    <row r="24" spans="1:18" x14ac:dyDescent="0.25">
      <c r="A24" s="149"/>
      <c r="B24" s="11" t="s">
        <v>6</v>
      </c>
      <c r="C24" s="16">
        <f>C23*1.2</f>
        <v>604.59301440000002</v>
      </c>
      <c r="D24" s="17">
        <f>D23*0.4</f>
        <v>165.14757120000002</v>
      </c>
      <c r="E24" s="18">
        <f>E23*1.2</f>
        <v>277.77136799999994</v>
      </c>
      <c r="F24" s="19">
        <f>F23*0.4</f>
        <v>118.7419776</v>
      </c>
      <c r="G24" s="16">
        <f>G23*1.2</f>
        <v>226.04366880000001</v>
      </c>
      <c r="H24" s="17">
        <f>H23*0.4</f>
        <v>84.364800000000002</v>
      </c>
    </row>
    <row r="25" spans="1:18" ht="15.75" thickBot="1" x14ac:dyDescent="0.3">
      <c r="A25" s="136"/>
      <c r="B25" s="20" t="s">
        <v>8</v>
      </c>
      <c r="C25" s="21">
        <f t="shared" ref="C25:H25" si="7">C24*0.0092</f>
        <v>5.5622557324799997</v>
      </c>
      <c r="D25" s="22">
        <f t="shared" si="7"/>
        <v>1.5193576550400001</v>
      </c>
      <c r="E25" s="23">
        <f t="shared" si="7"/>
        <v>2.5554965855999994</v>
      </c>
      <c r="F25" s="24">
        <f t="shared" si="7"/>
        <v>1.09242619392</v>
      </c>
      <c r="G25" s="21">
        <f t="shared" si="7"/>
        <v>2.0796017529599999</v>
      </c>
      <c r="H25" s="22">
        <f t="shared" si="7"/>
        <v>0.77615615999999998</v>
      </c>
      <c r="L25" s="28">
        <f>L30*0.6</f>
        <v>4476.1067966353557</v>
      </c>
      <c r="M25" s="32">
        <v>0.6</v>
      </c>
      <c r="N25" s="1" t="s">
        <v>16</v>
      </c>
    </row>
    <row r="26" spans="1:18" x14ac:dyDescent="0.25">
      <c r="C26" s="33"/>
      <c r="D26" s="33"/>
      <c r="E26" s="33"/>
      <c r="F26" s="33"/>
      <c r="G26" s="33"/>
      <c r="H26" s="33"/>
      <c r="L26" s="28">
        <f>L30*0.4</f>
        <v>2984.071197756904</v>
      </c>
      <c r="M26" s="32">
        <v>0.4</v>
      </c>
      <c r="N26" s="1" t="s">
        <v>15</v>
      </c>
    </row>
    <row r="27" spans="1:18" ht="15.75" thickBot="1" x14ac:dyDescent="0.3">
      <c r="C27" s="34"/>
    </row>
    <row r="28" spans="1:18" ht="15.75" thickBot="1" x14ac:dyDescent="0.3">
      <c r="A28" s="135" t="s">
        <v>1</v>
      </c>
      <c r="B28" s="137" t="s">
        <v>2</v>
      </c>
      <c r="C28" s="139">
        <v>2023</v>
      </c>
      <c r="D28" s="140"/>
      <c r="E28" s="146">
        <v>2024</v>
      </c>
      <c r="F28" s="147"/>
      <c r="G28" s="139">
        <v>2025</v>
      </c>
      <c r="H28" s="140"/>
      <c r="L28" s="1">
        <v>2023</v>
      </c>
      <c r="M28" s="1">
        <v>2024</v>
      </c>
      <c r="N28" s="1">
        <v>2025</v>
      </c>
    </row>
    <row r="29" spans="1:18" ht="15.75" thickBot="1" x14ac:dyDescent="0.3">
      <c r="A29" s="136"/>
      <c r="B29" s="138"/>
      <c r="C29" s="2" t="s">
        <v>3</v>
      </c>
      <c r="D29" s="3" t="s">
        <v>4</v>
      </c>
      <c r="E29" s="4" t="s">
        <v>3</v>
      </c>
      <c r="F29" s="5" t="s">
        <v>4</v>
      </c>
      <c r="G29" s="2" t="s">
        <v>3</v>
      </c>
      <c r="H29" s="3" t="s">
        <v>4</v>
      </c>
      <c r="J29" s="35" t="s">
        <v>20</v>
      </c>
      <c r="K29" s="36" t="s">
        <v>21</v>
      </c>
      <c r="L29" s="37">
        <f>(((C30+D30)*10*483.27)/1000+L30)*0.4</f>
        <v>10759.356137300565</v>
      </c>
      <c r="M29" s="37">
        <f>(((E30+F30)*10*483.27)/1000+M30)*0.4</f>
        <v>3970.3401425607371</v>
      </c>
      <c r="N29" s="37">
        <f>(((F30+G30)*10*483.27)/1000+N30)*0.4</f>
        <v>4097.6075666116276</v>
      </c>
      <c r="O29" s="1" t="s">
        <v>22</v>
      </c>
      <c r="P29" s="28">
        <f>L29/12</f>
        <v>896.61301144171375</v>
      </c>
      <c r="Q29" s="28">
        <f>M29/12</f>
        <v>330.86167854672811</v>
      </c>
      <c r="R29" s="28">
        <f>N29/12</f>
        <v>341.46729721763563</v>
      </c>
    </row>
    <row r="30" spans="1:18" x14ac:dyDescent="0.25">
      <c r="A30" s="132" t="s">
        <v>5</v>
      </c>
      <c r="B30" s="38" t="s">
        <v>23</v>
      </c>
      <c r="C30" s="39">
        <f>C7/1.2</f>
        <v>2075.5607843137259</v>
      </c>
      <c r="D30" s="40">
        <f>D7/1.4</f>
        <v>1946.6653726708075</v>
      </c>
      <c r="E30" s="39">
        <f>E7/1.2</f>
        <v>868.60392156862747</v>
      </c>
      <c r="F30" s="40">
        <f>F7/1.4</f>
        <v>599.55978260869563</v>
      </c>
      <c r="G30" s="41">
        <f>G7/1.2</f>
        <v>826.13725490196077</v>
      </c>
      <c r="H30" s="40">
        <f>H7/1.4</f>
        <v>831.41847826086962</v>
      </c>
      <c r="J30" s="42" t="s">
        <v>24</v>
      </c>
      <c r="K30" s="43" t="s">
        <v>21</v>
      </c>
      <c r="L30" s="44">
        <f>+C35/1000</f>
        <v>7460.1779943922593</v>
      </c>
      <c r="M30" s="44">
        <f>E35/1000</f>
        <v>2830.6556232240937</v>
      </c>
      <c r="N30" s="45">
        <f>G35/1000</f>
        <v>3354.0528433513196</v>
      </c>
      <c r="O30" s="1" t="s">
        <v>25</v>
      </c>
      <c r="P30" s="28">
        <f>L30/12</f>
        <v>621.68149953268824</v>
      </c>
      <c r="Q30" s="28">
        <f t="shared" ref="Q30:R30" si="8">M30/12</f>
        <v>235.88796860200782</v>
      </c>
      <c r="R30" s="28">
        <f t="shared" si="8"/>
        <v>279.50440361260996</v>
      </c>
    </row>
    <row r="31" spans="1:18" ht="15.75" thickBot="1" x14ac:dyDescent="0.3">
      <c r="A31" s="133"/>
      <c r="B31" s="46" t="s">
        <v>26</v>
      </c>
      <c r="C31" s="47">
        <f>C7-C30</f>
        <v>415.112156862745</v>
      </c>
      <c r="D31" s="48">
        <f>D7-D30</f>
        <v>778.66614906832297</v>
      </c>
      <c r="E31" s="48">
        <f t="shared" ref="E31:H31" si="9">E7-E30</f>
        <v>173.7207843137254</v>
      </c>
      <c r="F31" s="48">
        <f t="shared" si="9"/>
        <v>239.82391304347823</v>
      </c>
      <c r="G31" s="48">
        <f t="shared" si="9"/>
        <v>165.22745098039218</v>
      </c>
      <c r="H31" s="48">
        <f t="shared" si="9"/>
        <v>332.56739130434778</v>
      </c>
      <c r="J31" s="49" t="s">
        <v>24</v>
      </c>
      <c r="K31" s="50" t="s">
        <v>27</v>
      </c>
      <c r="L31" s="51">
        <f>+L30*1.2</f>
        <v>8952.2135932707115</v>
      </c>
      <c r="M31" s="51">
        <f>+M30*1.2</f>
        <v>3396.7867478689122</v>
      </c>
      <c r="N31" s="52">
        <f t="shared" ref="N31" si="10">+N30*1.2</f>
        <v>4024.8634120215834</v>
      </c>
    </row>
    <row r="32" spans="1:18" ht="30.75" thickBot="1" x14ac:dyDescent="0.3">
      <c r="A32" s="133"/>
      <c r="B32" s="11" t="s">
        <v>28</v>
      </c>
      <c r="C32" s="53">
        <v>1697.19</v>
      </c>
      <c r="D32" s="53">
        <v>1800.19</v>
      </c>
      <c r="E32" s="53">
        <f>C32*1.046</f>
        <v>1775.2607400000002</v>
      </c>
      <c r="F32" s="53">
        <f>D32*1.046</f>
        <v>1882.9987400000002</v>
      </c>
      <c r="G32" s="53">
        <f>E32*1.04</f>
        <v>1846.2711696000003</v>
      </c>
      <c r="H32" s="53">
        <f>F32*1.04</f>
        <v>1958.3186896000002</v>
      </c>
      <c r="J32" s="49"/>
      <c r="K32" s="50"/>
      <c r="L32" s="51"/>
      <c r="M32" s="51"/>
      <c r="N32" s="52"/>
      <c r="O32" s="28">
        <f>L30/2</f>
        <v>3730.0889971961296</v>
      </c>
    </row>
    <row r="33" spans="1:18" ht="45.75" thickBot="1" x14ac:dyDescent="0.3">
      <c r="A33" s="133"/>
      <c r="B33" s="20" t="s">
        <v>29</v>
      </c>
      <c r="C33" s="54">
        <f>342.01*1.061</f>
        <v>362.87260999999995</v>
      </c>
      <c r="D33" s="54">
        <f>342.01*1.061</f>
        <v>362.87260999999995</v>
      </c>
      <c r="E33" s="54">
        <f>D33*1.04</f>
        <v>377.38751439999999</v>
      </c>
      <c r="F33" s="54">
        <f>E33*1.04</f>
        <v>392.48301497599999</v>
      </c>
      <c r="G33" s="54">
        <f>E33*1.04</f>
        <v>392.48301497599999</v>
      </c>
      <c r="H33" s="54">
        <f>F33*1.04</f>
        <v>408.18233557503999</v>
      </c>
      <c r="J33" s="42" t="s">
        <v>30</v>
      </c>
      <c r="K33" s="43" t="s">
        <v>31</v>
      </c>
      <c r="L33" s="44">
        <f>188*1.09</f>
        <v>204.92000000000002</v>
      </c>
      <c r="M33" s="44">
        <f>+L33*1.046</f>
        <v>214.34632000000002</v>
      </c>
      <c r="N33" s="45">
        <f>+M33*1.04</f>
        <v>222.92017280000002</v>
      </c>
      <c r="O33" s="1" t="s">
        <v>22</v>
      </c>
      <c r="P33" s="28">
        <f>P29/2</f>
        <v>448.30650572085688</v>
      </c>
      <c r="Q33" s="28">
        <f>P34/2</f>
        <v>672.45975858128531</v>
      </c>
    </row>
    <row r="34" spans="1:18" ht="45.75" thickBot="1" x14ac:dyDescent="0.3">
      <c r="A34" s="134"/>
      <c r="B34" s="55" t="s">
        <v>32</v>
      </c>
      <c r="C34" s="56">
        <f>(C33*C31)+(C32*C30)</f>
        <v>3673253.8393329261</v>
      </c>
      <c r="D34" s="57">
        <f t="shared" ref="D34:H34" si="11">(D33*D31)+(D32*D30)</f>
        <v>3786924.1550593325</v>
      </c>
      <c r="E34" s="56">
        <f t="shared" si="11"/>
        <v>1607558.495562599</v>
      </c>
      <c r="F34" s="57">
        <f t="shared" si="11"/>
        <v>1223097.1276614943</v>
      </c>
      <c r="G34" s="56">
        <f t="shared" si="11"/>
        <v>1590122.3639755603</v>
      </c>
      <c r="H34" s="58">
        <f t="shared" si="11"/>
        <v>1763930.4793757594</v>
      </c>
      <c r="J34" s="59" t="s">
        <v>33</v>
      </c>
      <c r="K34" s="60" t="s">
        <v>27</v>
      </c>
      <c r="L34" s="61">
        <f>(((C30+D30)*10*483.27)/1000+L30)*0.6</f>
        <v>16139.034205950848</v>
      </c>
      <c r="M34" s="61">
        <f>(((E30+F30)*10*483.27)/1000+M30)*0.6</f>
        <v>5955.5102138411057</v>
      </c>
      <c r="N34" s="61">
        <f>(((G30+H30)*10*483.27)/1000+N30)*0.6</f>
        <v>6818.7134610043977</v>
      </c>
      <c r="O34" s="1" t="s">
        <v>34</v>
      </c>
      <c r="P34" s="28">
        <f>L34/12</f>
        <v>1344.9195171625706</v>
      </c>
      <c r="Q34" s="28">
        <f t="shared" ref="Q34:R34" si="12">M34/12</f>
        <v>496.29251782009214</v>
      </c>
      <c r="R34" s="28">
        <f t="shared" si="12"/>
        <v>568.22612175036647</v>
      </c>
    </row>
    <row r="35" spans="1:18" ht="15.75" thickBot="1" x14ac:dyDescent="0.3">
      <c r="C35" s="62">
        <f>C34+D34</f>
        <v>7460177.994392259</v>
      </c>
      <c r="D35" s="63"/>
      <c r="E35" s="64">
        <f>E34+F34</f>
        <v>2830655.6232240936</v>
      </c>
      <c r="F35" s="65"/>
      <c r="G35" s="64">
        <f>G34+H34</f>
        <v>3354052.8433513194</v>
      </c>
      <c r="H35" s="65"/>
      <c r="J35" s="28"/>
      <c r="K35" s="28"/>
      <c r="L35" s="28"/>
      <c r="M35" s="28"/>
      <c r="N35" s="28"/>
      <c r="O35" s="28"/>
    </row>
    <row r="36" spans="1:18" ht="15.75" thickBot="1" x14ac:dyDescent="0.3">
      <c r="B36" s="66" t="s">
        <v>35</v>
      </c>
      <c r="C36" s="66">
        <f>'[2]СФ+ План'!$L$34</f>
        <v>9500630.2899999991</v>
      </c>
    </row>
    <row r="37" spans="1:18" ht="15.75" thickBot="1" x14ac:dyDescent="0.3">
      <c r="A37" s="135" t="s">
        <v>1</v>
      </c>
      <c r="B37" s="137" t="s">
        <v>2</v>
      </c>
      <c r="C37" s="139">
        <v>2023</v>
      </c>
      <c r="D37" s="140"/>
      <c r="E37" s="146">
        <v>2024</v>
      </c>
      <c r="F37" s="147"/>
      <c r="G37" s="139">
        <v>2025</v>
      </c>
      <c r="H37" s="140"/>
      <c r="L37" s="1">
        <v>2023</v>
      </c>
      <c r="M37" s="1">
        <v>2024</v>
      </c>
      <c r="N37" s="1">
        <v>2025</v>
      </c>
    </row>
    <row r="38" spans="1:18" ht="15.75" thickBot="1" x14ac:dyDescent="0.3">
      <c r="A38" s="136"/>
      <c r="B38" s="138"/>
      <c r="C38" s="2" t="s">
        <v>3</v>
      </c>
      <c r="D38" s="3" t="s">
        <v>4</v>
      </c>
      <c r="E38" s="4" t="s">
        <v>3</v>
      </c>
      <c r="F38" s="5" t="s">
        <v>4</v>
      </c>
      <c r="G38" s="2" t="s">
        <v>3</v>
      </c>
      <c r="H38" s="3" t="s">
        <v>4</v>
      </c>
      <c r="J38" s="35" t="s">
        <v>20</v>
      </c>
      <c r="K38" s="36" t="s">
        <v>21</v>
      </c>
      <c r="L38" s="37">
        <f>(((C39+D39)*10*483.27)/1000+L39)*0.4</f>
        <v>5443.6405010253784</v>
      </c>
      <c r="M38" s="37">
        <f>(((E39+F39)*10*483.27)/1000+M39)*0.4</f>
        <v>2911.3920197017464</v>
      </c>
      <c r="N38" s="37">
        <f>(((F39+G39)*10*483.27)/1000+N39)*0.4</f>
        <v>2785.5461479109858</v>
      </c>
      <c r="O38" s="1" t="s">
        <v>22</v>
      </c>
      <c r="P38" s="28">
        <f>L38/12</f>
        <v>453.63670841878155</v>
      </c>
      <c r="Q38" s="28">
        <f t="shared" ref="Q38:R39" si="13">M38/12</f>
        <v>242.6160016418122</v>
      </c>
      <c r="R38" s="28">
        <f t="shared" si="13"/>
        <v>232.12884565924881</v>
      </c>
    </row>
    <row r="39" spans="1:18" x14ac:dyDescent="0.25">
      <c r="A39" s="132" t="s">
        <v>10</v>
      </c>
      <c r="B39" s="67" t="s">
        <v>23</v>
      </c>
      <c r="C39" s="68">
        <f>C12/1.2</f>
        <v>1696.1980392156861</v>
      </c>
      <c r="D39" s="69">
        <f>D12/1.4</f>
        <v>355.56211180124222</v>
      </c>
      <c r="E39" s="68">
        <f>E12/1.2</f>
        <v>503.61568627450987</v>
      </c>
      <c r="F39" s="69">
        <f>F12/1.4</f>
        <v>570.93944099378893</v>
      </c>
      <c r="G39" s="68">
        <f>G12/1.2</f>
        <v>564.52843137254899</v>
      </c>
      <c r="H39" s="69">
        <f>H12/1.4</f>
        <v>187.59006211180127</v>
      </c>
      <c r="J39" s="42" t="s">
        <v>24</v>
      </c>
      <c r="K39" s="43" t="s">
        <v>21</v>
      </c>
      <c r="L39" s="44">
        <f>+C44/1000</f>
        <v>3693.5599707439355</v>
      </c>
      <c r="M39" s="44">
        <f>E44/1000</f>
        <v>2085.4774857048574</v>
      </c>
      <c r="N39" s="45">
        <f>G44/1000</f>
        <v>1476.4897829926631</v>
      </c>
      <c r="O39" s="1" t="s">
        <v>25</v>
      </c>
      <c r="P39" s="28">
        <f>L39/12</f>
        <v>307.79666422866131</v>
      </c>
      <c r="Q39" s="28">
        <f t="shared" si="13"/>
        <v>173.78979047540477</v>
      </c>
      <c r="R39" s="28">
        <f t="shared" si="13"/>
        <v>123.04081524938859</v>
      </c>
    </row>
    <row r="40" spans="1:18" x14ac:dyDescent="0.25">
      <c r="A40" s="133"/>
      <c r="B40" s="70" t="s">
        <v>26</v>
      </c>
      <c r="C40" s="71">
        <f t="shared" ref="C40:H40" si="14">C12-C39</f>
        <v>339.23960784313704</v>
      </c>
      <c r="D40" s="71">
        <f t="shared" si="14"/>
        <v>142.22484472049689</v>
      </c>
      <c r="E40" s="71">
        <f t="shared" si="14"/>
        <v>100.72313725490193</v>
      </c>
      <c r="F40" s="71">
        <f t="shared" si="14"/>
        <v>228.37577639751555</v>
      </c>
      <c r="G40" s="71">
        <f t="shared" si="14"/>
        <v>112.90568627450978</v>
      </c>
      <c r="H40" s="71">
        <f t="shared" si="14"/>
        <v>75.036024844720487</v>
      </c>
      <c r="J40" s="49" t="s">
        <v>24</v>
      </c>
      <c r="K40" s="50" t="s">
        <v>27</v>
      </c>
      <c r="L40" s="51">
        <f>+L39*1.2</f>
        <v>4432.2719648927223</v>
      </c>
      <c r="M40" s="51">
        <f t="shared" ref="M40:N40" si="15">+M39*1.2</f>
        <v>2502.5729828458288</v>
      </c>
      <c r="N40" s="52">
        <f t="shared" si="15"/>
        <v>1771.7877395911958</v>
      </c>
    </row>
    <row r="41" spans="1:18" ht="30.75" thickBot="1" x14ac:dyDescent="0.3">
      <c r="A41" s="133"/>
      <c r="B41" s="72" t="s">
        <v>28</v>
      </c>
      <c r="C41" s="73">
        <v>1697.19</v>
      </c>
      <c r="D41" s="74">
        <v>1800.19</v>
      </c>
      <c r="E41" s="73">
        <f>C41*1.04</f>
        <v>1765.0776000000001</v>
      </c>
      <c r="F41" s="74">
        <f>D41*1.04</f>
        <v>1872.1976000000002</v>
      </c>
      <c r="G41" s="75">
        <f>E41*1.04</f>
        <v>1835.6807040000001</v>
      </c>
      <c r="H41" s="74">
        <f>F41*1.04</f>
        <v>1947.0855040000004</v>
      </c>
      <c r="J41" s="49"/>
      <c r="K41" s="50"/>
      <c r="L41" s="51"/>
      <c r="M41" s="51"/>
      <c r="N41" s="52"/>
    </row>
    <row r="42" spans="1:18" ht="45.75" thickBot="1" x14ac:dyDescent="0.3">
      <c r="A42" s="133"/>
      <c r="B42" s="76" t="s">
        <v>29</v>
      </c>
      <c r="C42" s="54">
        <f>342.01*1.061</f>
        <v>362.87260999999995</v>
      </c>
      <c r="D42" s="54">
        <f>342.01*1.061</f>
        <v>362.87260999999995</v>
      </c>
      <c r="E42" s="54">
        <f>D42*1.04</f>
        <v>377.38751439999999</v>
      </c>
      <c r="F42" s="54">
        <f>E42*1.04</f>
        <v>392.48301497599999</v>
      </c>
      <c r="G42" s="54">
        <f>E42*1.04</f>
        <v>392.48301497599999</v>
      </c>
      <c r="H42" s="54">
        <f>F42*1.04</f>
        <v>408.18233557503999</v>
      </c>
      <c r="J42" s="42" t="s">
        <v>30</v>
      </c>
      <c r="K42" s="43" t="s">
        <v>31</v>
      </c>
      <c r="L42" s="44">
        <f>188*1.09</f>
        <v>204.92000000000002</v>
      </c>
      <c r="M42" s="44">
        <f>+L42*1.046</f>
        <v>214.34632000000002</v>
      </c>
      <c r="N42" s="45">
        <f>+M42*1.04</f>
        <v>222.92017280000002</v>
      </c>
      <c r="O42" s="1" t="s">
        <v>22</v>
      </c>
      <c r="P42" s="28">
        <f>P38/2</f>
        <v>226.81835420939078</v>
      </c>
      <c r="Q42" s="28">
        <f>P43/2</f>
        <v>340.22753131408609</v>
      </c>
    </row>
    <row r="43" spans="1:18" ht="45.75" thickBot="1" x14ac:dyDescent="0.3">
      <c r="A43" s="134"/>
      <c r="B43" s="55" t="s">
        <v>32</v>
      </c>
      <c r="C43" s="56">
        <f>(C42*C40)+(C41*C39)</f>
        <v>3001871.1120898859</v>
      </c>
      <c r="D43" s="57">
        <f t="shared" ref="D43:H43" si="16">(D42*D40)+(D41*D39)</f>
        <v>691688.85865404969</v>
      </c>
      <c r="E43" s="56">
        <f>(E42*E40)+(E41*E39)</f>
        <v>926932.42126296239</v>
      </c>
      <c r="F43" s="57">
        <f t="shared" si="16"/>
        <v>1158545.0644418951</v>
      </c>
      <c r="G43" s="56">
        <f t="shared" si="16"/>
        <v>1080607.5124869305</v>
      </c>
      <c r="H43" s="58">
        <f t="shared" si="16"/>
        <v>395882.27050573268</v>
      </c>
      <c r="J43" s="59" t="s">
        <v>33</v>
      </c>
      <c r="K43" s="60" t="s">
        <v>27</v>
      </c>
      <c r="L43" s="61">
        <f>(((C39+D39)*10*483.27)/1000+L39)*0.6</f>
        <v>8165.4607515380667</v>
      </c>
      <c r="M43" s="61">
        <f>(((E39+F39)*10*483.27)/1000+M39)*0.6</f>
        <v>4367.0880295526194</v>
      </c>
      <c r="N43" s="61">
        <f>(((G39+H39)*10*483.27)/1000+N39)*0.6</f>
        <v>3066.7516958726887</v>
      </c>
      <c r="O43" s="1" t="s">
        <v>34</v>
      </c>
      <c r="P43" s="28">
        <f>L43/12</f>
        <v>680.45506262817219</v>
      </c>
      <c r="Q43" s="28">
        <f>M43/12</f>
        <v>363.92400246271831</v>
      </c>
      <c r="R43" s="28">
        <f>N43/12</f>
        <v>255.56264132272406</v>
      </c>
    </row>
    <row r="44" spans="1:18" ht="15.75" thickBot="1" x14ac:dyDescent="0.3">
      <c r="C44" s="62">
        <f>C43+D43</f>
        <v>3693559.9707439356</v>
      </c>
      <c r="D44" s="63"/>
      <c r="E44" s="64">
        <f>E43+F43</f>
        <v>2085477.4857048574</v>
      </c>
      <c r="F44" s="65"/>
      <c r="G44" s="64">
        <f>G43+H43</f>
        <v>1476489.7829926631</v>
      </c>
      <c r="H44" s="65"/>
    </row>
    <row r="45" spans="1:18" ht="15.75" thickBot="1" x14ac:dyDescent="0.3">
      <c r="B45" s="66" t="s">
        <v>35</v>
      </c>
      <c r="C45" s="66">
        <f>'[3]СФ+ План'!$M$24</f>
        <v>2735347.38</v>
      </c>
    </row>
    <row r="46" spans="1:18" ht="15.75" thickBot="1" x14ac:dyDescent="0.3">
      <c r="A46" s="135" t="s">
        <v>1</v>
      </c>
      <c r="B46" s="137" t="s">
        <v>2</v>
      </c>
      <c r="C46" s="139">
        <v>2023</v>
      </c>
      <c r="D46" s="140"/>
      <c r="E46" s="139">
        <v>2024</v>
      </c>
      <c r="F46" s="140"/>
      <c r="G46" s="139">
        <v>2025</v>
      </c>
      <c r="H46" s="140"/>
      <c r="L46" s="1">
        <v>2023</v>
      </c>
      <c r="M46" s="1">
        <v>2024</v>
      </c>
      <c r="N46" s="1">
        <v>2025</v>
      </c>
    </row>
    <row r="47" spans="1:18" ht="15.75" thickBot="1" x14ac:dyDescent="0.3">
      <c r="A47" s="136"/>
      <c r="B47" s="138"/>
      <c r="C47" s="2" t="s">
        <v>3</v>
      </c>
      <c r="D47" s="3" t="s">
        <v>4</v>
      </c>
      <c r="E47" s="2" t="s">
        <v>3</v>
      </c>
      <c r="F47" s="3" t="s">
        <v>4</v>
      </c>
      <c r="G47" s="2" t="s">
        <v>3</v>
      </c>
      <c r="H47" s="3" t="s">
        <v>4</v>
      </c>
      <c r="J47" s="35" t="s">
        <v>20</v>
      </c>
      <c r="K47" s="36" t="s">
        <v>21</v>
      </c>
      <c r="L47" s="37">
        <f>(((C48+D48)*10*483.27)/1000+L48)*0.4</f>
        <v>7029.4016798702814</v>
      </c>
      <c r="M47" s="37">
        <f>(((E48+F48)*10*483.27)/1000+M48)*0.4</f>
        <v>6103.4034485804868</v>
      </c>
      <c r="N47" s="37">
        <f>(((G48+H48)*10*483.27)/1000+N48)*0.4</f>
        <v>3457.8260952650317</v>
      </c>
      <c r="O47" s="1" t="s">
        <v>22</v>
      </c>
      <c r="P47" s="28">
        <f>L47/12</f>
        <v>585.78347332252349</v>
      </c>
      <c r="Q47" s="28">
        <f>M47/12</f>
        <v>508.61695404837388</v>
      </c>
      <c r="R47" s="28">
        <f>N47/12</f>
        <v>288.1521746054193</v>
      </c>
    </row>
    <row r="48" spans="1:18" x14ac:dyDescent="0.25">
      <c r="A48" s="132" t="s">
        <v>11</v>
      </c>
      <c r="B48" s="67" t="s">
        <v>23</v>
      </c>
      <c r="C48" s="39">
        <f>C17/1.2</f>
        <v>1597.2470588235296</v>
      </c>
      <c r="D48" s="40">
        <f>D17/1.4</f>
        <v>1036.8392857142858</v>
      </c>
      <c r="E48" s="39">
        <f>E17/1.2</f>
        <v>1094.491176470588</v>
      </c>
      <c r="F48" s="40">
        <f>F17/1.4</f>
        <v>1230.3074534161492</v>
      </c>
      <c r="G48" s="39">
        <f>G17/1.2</f>
        <v>616.68431372549026</v>
      </c>
      <c r="H48" s="40">
        <f>H17/1.4</f>
        <v>686.73680124223608</v>
      </c>
      <c r="J48" s="42" t="s">
        <v>24</v>
      </c>
      <c r="K48" s="43" t="s">
        <v>21</v>
      </c>
      <c r="L48" s="44">
        <f>+C53/1000</f>
        <v>4843.7551224278013</v>
      </c>
      <c r="M48" s="44">
        <f>E53/1000</f>
        <v>4023.4542827975815</v>
      </c>
      <c r="N48" s="45">
        <f>G53/1000</f>
        <v>2345.5220158580487</v>
      </c>
      <c r="O48" s="1" t="s">
        <v>25</v>
      </c>
      <c r="P48" s="28">
        <f>L48/12</f>
        <v>403.6462602023168</v>
      </c>
      <c r="Q48" s="28">
        <f>M48/12</f>
        <v>335.28785689979844</v>
      </c>
      <c r="R48" s="28">
        <f t="shared" ref="R48" si="17">N48/12</f>
        <v>195.46016798817072</v>
      </c>
    </row>
    <row r="49" spans="1:18" x14ac:dyDescent="0.25">
      <c r="A49" s="133"/>
      <c r="B49" s="70" t="s">
        <v>26</v>
      </c>
      <c r="C49" s="71">
        <f t="shared" ref="C49:H49" si="18">C17-C48</f>
        <v>319.44941176470593</v>
      </c>
      <c r="D49" s="71">
        <f t="shared" si="18"/>
        <v>414.73571428571427</v>
      </c>
      <c r="E49" s="71">
        <f t="shared" si="18"/>
        <v>218.89823529411751</v>
      </c>
      <c r="F49" s="71">
        <f t="shared" si="18"/>
        <v>492.12298136645973</v>
      </c>
      <c r="G49" s="71">
        <f t="shared" si="18"/>
        <v>123.33686274509796</v>
      </c>
      <c r="H49" s="71">
        <f t="shared" si="18"/>
        <v>274.69472049689443</v>
      </c>
      <c r="J49" s="49" t="s">
        <v>24</v>
      </c>
      <c r="K49" s="50" t="s">
        <v>27</v>
      </c>
      <c r="L49" s="51">
        <f>+L48*1.2</f>
        <v>5812.5061469133616</v>
      </c>
      <c r="M49" s="51">
        <f>+M48*1.2</f>
        <v>4828.1451393570978</v>
      </c>
      <c r="N49" s="52">
        <f t="shared" ref="N49" si="19">+N48*1.2</f>
        <v>2814.6264190296583</v>
      </c>
    </row>
    <row r="50" spans="1:18" ht="30.75" thickBot="1" x14ac:dyDescent="0.3">
      <c r="A50" s="133"/>
      <c r="B50" s="72" t="s">
        <v>28</v>
      </c>
      <c r="C50" s="77">
        <v>1697.19</v>
      </c>
      <c r="D50" s="78">
        <v>1800.19</v>
      </c>
      <c r="E50" s="77">
        <v>1571.9288000000001</v>
      </c>
      <c r="F50" s="78">
        <v>1647.7447999999999</v>
      </c>
      <c r="G50" s="77">
        <v>1634.8059520000002</v>
      </c>
      <c r="H50" s="78">
        <v>1713.6545920000001</v>
      </c>
      <c r="J50" s="49"/>
      <c r="K50" s="50"/>
      <c r="L50" s="51"/>
      <c r="M50" s="51"/>
      <c r="N50" s="52"/>
    </row>
    <row r="51" spans="1:18" ht="45.75" thickBot="1" x14ac:dyDescent="0.3">
      <c r="A51" s="133"/>
      <c r="B51" s="76" t="s">
        <v>29</v>
      </c>
      <c r="C51" s="54">
        <f>342.01*1.061</f>
        <v>362.87260999999995</v>
      </c>
      <c r="D51" s="54">
        <f>342.01*1.061</f>
        <v>362.87260999999995</v>
      </c>
      <c r="E51" s="54">
        <f>D51*1.04</f>
        <v>377.38751439999999</v>
      </c>
      <c r="F51" s="54">
        <f>E51*1.04</f>
        <v>392.48301497599999</v>
      </c>
      <c r="G51" s="54">
        <f>E51*1.04</f>
        <v>392.48301497599999</v>
      </c>
      <c r="H51" s="54">
        <f>F51*1.04</f>
        <v>408.18233557503999</v>
      </c>
      <c r="J51" s="42" t="s">
        <v>30</v>
      </c>
      <c r="K51" s="43" t="s">
        <v>31</v>
      </c>
      <c r="L51" s="44">
        <f>188*1.09</f>
        <v>204.92000000000002</v>
      </c>
      <c r="M51" s="44">
        <f>+L51*1.046</f>
        <v>214.34632000000002</v>
      </c>
      <c r="N51" s="45">
        <f>+M51*1.04</f>
        <v>222.92017280000002</v>
      </c>
      <c r="O51" s="1" t="s">
        <v>22</v>
      </c>
      <c r="P51" s="28">
        <f>P47/2</f>
        <v>292.89173666126175</v>
      </c>
      <c r="Q51" s="28">
        <f>P52/2</f>
        <v>439.33760499189253</v>
      </c>
    </row>
    <row r="52" spans="1:18" ht="45.75" thickBot="1" x14ac:dyDescent="0.3">
      <c r="A52" s="134"/>
      <c r="B52" s="55" t="s">
        <v>32</v>
      </c>
      <c r="C52" s="56">
        <f>(C51*C49)+(C50*C48)</f>
        <v>2826751.17757473</v>
      </c>
      <c r="D52" s="57">
        <f t="shared" ref="D52:H52" si="20">(D51*D49)+(D50*D48)</f>
        <v>2017003.9448530716</v>
      </c>
      <c r="E52" s="56">
        <f t="shared" si="20"/>
        <v>1803071.6625641931</v>
      </c>
      <c r="F52" s="57">
        <f t="shared" si="20"/>
        <v>2220382.6202333882</v>
      </c>
      <c r="G52" s="56">
        <f t="shared" si="20"/>
        <v>1056566.8103313439</v>
      </c>
      <c r="H52" s="58">
        <f t="shared" si="20"/>
        <v>1288955.2055267044</v>
      </c>
      <c r="J52" s="59" t="s">
        <v>33</v>
      </c>
      <c r="K52" s="60" t="s">
        <v>27</v>
      </c>
      <c r="L52" s="61">
        <f>(((C48+D48)*10*483.27)/1000+L48)*0.6</f>
        <v>10544.102519805421</v>
      </c>
      <c r="M52" s="61">
        <f>(((E48+F48)*10*483.27)/1000+M48)*0.6</f>
        <v>9155.1051728707298</v>
      </c>
      <c r="N52" s="61">
        <f>(((G48+H48)*10*483.27)/1000+N48)*0.6</f>
        <v>5186.739142897547</v>
      </c>
      <c r="O52" s="1" t="s">
        <v>34</v>
      </c>
      <c r="P52" s="28">
        <f>L52/12</f>
        <v>878.67520998378507</v>
      </c>
      <c r="Q52" s="28">
        <f>M52/12</f>
        <v>762.92543107256085</v>
      </c>
      <c r="R52" s="28">
        <f>N52/12</f>
        <v>432.2282619081289</v>
      </c>
    </row>
    <row r="53" spans="1:18" ht="15.75" thickBot="1" x14ac:dyDescent="0.3">
      <c r="C53" s="64">
        <f>C52+D52</f>
        <v>4843755.1224278016</v>
      </c>
      <c r="D53" s="65"/>
      <c r="E53" s="64">
        <f>E52+F52</f>
        <v>4023454.2827975815</v>
      </c>
      <c r="F53" s="65"/>
      <c r="G53" s="64">
        <f>G52+H52</f>
        <v>2345522.0158580486</v>
      </c>
      <c r="H53" s="65"/>
    </row>
    <row r="54" spans="1:18" x14ac:dyDescent="0.25">
      <c r="B54" s="66" t="s">
        <v>35</v>
      </c>
      <c r="C54" s="66">
        <f>'[4]2022'!$R$12</f>
        <v>2214046.7999999998</v>
      </c>
    </row>
    <row r="55" spans="1:18" x14ac:dyDescent="0.25">
      <c r="A55" s="1" t="s">
        <v>36</v>
      </c>
      <c r="B55" s="79">
        <f>C54+C45+C36</f>
        <v>14450024.469999999</v>
      </c>
      <c r="C55" s="28">
        <f>C54-C53</f>
        <v>-2629708.3224278018</v>
      </c>
    </row>
    <row r="56" spans="1:18" x14ac:dyDescent="0.25">
      <c r="D56" s="28">
        <f>(C53/12)/1000</f>
        <v>403.6462602023168</v>
      </c>
    </row>
    <row r="57" spans="1:18" ht="15.75" thickBot="1" x14ac:dyDescent="0.3">
      <c r="E57" s="80" t="s">
        <v>37</v>
      </c>
    </row>
    <row r="58" spans="1:18" ht="30.75" thickBot="1" x14ac:dyDescent="0.3">
      <c r="A58" s="141" t="s">
        <v>38</v>
      </c>
      <c r="B58" s="142"/>
      <c r="C58" s="81" t="s">
        <v>39</v>
      </c>
      <c r="E58" s="82" t="s">
        <v>1</v>
      </c>
      <c r="F58" s="83" t="s">
        <v>40</v>
      </c>
      <c r="G58" s="84" t="s">
        <v>41</v>
      </c>
      <c r="H58" s="83" t="s">
        <v>40</v>
      </c>
      <c r="I58" s="84" t="s">
        <v>41</v>
      </c>
      <c r="J58" s="83" t="s">
        <v>40</v>
      </c>
      <c r="K58" s="84" t="s">
        <v>41</v>
      </c>
    </row>
    <row r="59" spans="1:18" ht="15.75" thickBot="1" x14ac:dyDescent="0.3">
      <c r="A59" s="85">
        <v>73</v>
      </c>
      <c r="B59" s="86" t="s">
        <v>42</v>
      </c>
      <c r="C59" s="87">
        <v>64</v>
      </c>
      <c r="E59" s="88" t="s">
        <v>43</v>
      </c>
      <c r="F59" s="143">
        <v>2023</v>
      </c>
      <c r="G59" s="144"/>
      <c r="H59" s="143">
        <v>2024</v>
      </c>
      <c r="I59" s="144"/>
      <c r="J59" s="143">
        <v>2025</v>
      </c>
      <c r="K59" s="144"/>
      <c r="N59" s="28">
        <f>L47+L38+L29</f>
        <v>23232.398318196225</v>
      </c>
    </row>
    <row r="60" spans="1:18" x14ac:dyDescent="0.25">
      <c r="A60" s="77"/>
      <c r="B60" s="43" t="s">
        <v>44</v>
      </c>
      <c r="C60" s="78">
        <v>3446</v>
      </c>
      <c r="E60" s="89" t="s">
        <v>5</v>
      </c>
      <c r="F60" s="90">
        <f>C34</f>
        <v>3673253.8393329261</v>
      </c>
      <c r="G60" s="91">
        <f t="shared" ref="G60:K60" si="21">D34</f>
        <v>3786924.1550593325</v>
      </c>
      <c r="H60" s="90">
        <f t="shared" si="21"/>
        <v>1607558.495562599</v>
      </c>
      <c r="I60" s="91">
        <f t="shared" si="21"/>
        <v>1223097.1276614943</v>
      </c>
      <c r="J60" s="90">
        <f t="shared" si="21"/>
        <v>1590122.3639755603</v>
      </c>
      <c r="K60" s="91">
        <f t="shared" si="21"/>
        <v>1763930.4793757594</v>
      </c>
    </row>
    <row r="61" spans="1:18" ht="15.75" thickBot="1" x14ac:dyDescent="0.3">
      <c r="A61" s="77"/>
      <c r="B61" s="92" t="s">
        <v>45</v>
      </c>
      <c r="C61" s="93">
        <v>3577</v>
      </c>
      <c r="E61" s="70" t="s">
        <v>10</v>
      </c>
      <c r="F61" s="94">
        <f t="shared" ref="F61:K61" si="22">C43</f>
        <v>3001871.1120898859</v>
      </c>
      <c r="G61" s="95">
        <f t="shared" si="22"/>
        <v>691688.85865404969</v>
      </c>
      <c r="H61" s="94">
        <f t="shared" si="22"/>
        <v>926932.42126296239</v>
      </c>
      <c r="I61" s="95">
        <f t="shared" si="22"/>
        <v>1158545.0644418951</v>
      </c>
      <c r="J61" s="94">
        <f t="shared" si="22"/>
        <v>1080607.5124869305</v>
      </c>
      <c r="K61" s="95">
        <f t="shared" si="22"/>
        <v>395882.27050573268</v>
      </c>
    </row>
    <row r="62" spans="1:18" ht="15.75" thickBot="1" x14ac:dyDescent="0.3">
      <c r="A62" s="96"/>
      <c r="B62" s="92"/>
      <c r="C62" s="93"/>
      <c r="E62" s="97" t="s">
        <v>11</v>
      </c>
      <c r="F62" s="98">
        <f t="shared" ref="F62:K62" si="23">C52</f>
        <v>2826751.17757473</v>
      </c>
      <c r="G62" s="99">
        <f t="shared" si="23"/>
        <v>2017003.9448530716</v>
      </c>
      <c r="H62" s="98">
        <f t="shared" si="23"/>
        <v>1803071.6625641931</v>
      </c>
      <c r="I62" s="99">
        <f t="shared" si="23"/>
        <v>2220382.6202333882</v>
      </c>
      <c r="J62" s="98">
        <f t="shared" si="23"/>
        <v>1056566.8103313439</v>
      </c>
      <c r="K62" s="99">
        <f t="shared" si="23"/>
        <v>1288955.2055267044</v>
      </c>
    </row>
    <row r="63" spans="1:18" ht="15.75" thickBot="1" x14ac:dyDescent="0.3">
      <c r="A63" s="100" t="s">
        <v>46</v>
      </c>
      <c r="B63" s="101" t="s">
        <v>42</v>
      </c>
      <c r="C63" s="102">
        <v>2355</v>
      </c>
      <c r="E63" s="103" t="s">
        <v>47</v>
      </c>
      <c r="F63" s="104">
        <f>F60+F61+F62</f>
        <v>9501876.128997542</v>
      </c>
      <c r="G63" s="105">
        <f t="shared" ref="G63:K63" si="24">G60+G61+G62</f>
        <v>6495616.9585664533</v>
      </c>
      <c r="H63" s="104">
        <f t="shared" si="24"/>
        <v>4337562.5793897547</v>
      </c>
      <c r="I63" s="105">
        <f t="shared" si="24"/>
        <v>4602024.8123367783</v>
      </c>
      <c r="J63" s="104">
        <f t="shared" si="24"/>
        <v>3727296.6867938349</v>
      </c>
      <c r="K63" s="105">
        <f t="shared" si="24"/>
        <v>3448767.9554081964</v>
      </c>
    </row>
    <row r="64" spans="1:18" ht="15.75" thickBot="1" x14ac:dyDescent="0.3">
      <c r="A64" s="77"/>
      <c r="B64" s="43" t="s">
        <v>44</v>
      </c>
      <c r="C64" s="78">
        <v>127</v>
      </c>
      <c r="F64" s="130">
        <f>F63+G63</f>
        <v>15997493.087563995</v>
      </c>
      <c r="G64" s="131"/>
      <c r="H64" s="130">
        <f>H63+I63</f>
        <v>8939587.391726533</v>
      </c>
      <c r="I64" s="131"/>
      <c r="J64" s="130">
        <f>J63+K63</f>
        <v>7176064.6422020309</v>
      </c>
      <c r="K64" s="131"/>
      <c r="L64" s="106">
        <f>F64+H64+J64</f>
        <v>32113145.121492561</v>
      </c>
    </row>
    <row r="65" spans="1:3" ht="15.75" thickBot="1" x14ac:dyDescent="0.3">
      <c r="A65" s="77"/>
      <c r="B65" s="92" t="s">
        <v>45</v>
      </c>
      <c r="C65" s="93">
        <v>161</v>
      </c>
    </row>
    <row r="66" spans="1:3" ht="15.75" thickBot="1" x14ac:dyDescent="0.3">
      <c r="A66" s="96"/>
      <c r="B66" s="92"/>
      <c r="C66" s="93"/>
    </row>
  </sheetData>
  <mergeCells count="35">
    <mergeCell ref="G4:H4"/>
    <mergeCell ref="G37:H37"/>
    <mergeCell ref="A11:A15"/>
    <mergeCell ref="A16:A20"/>
    <mergeCell ref="A21:A25"/>
    <mergeCell ref="A30:A34"/>
    <mergeCell ref="A37:A38"/>
    <mergeCell ref="B37:B38"/>
    <mergeCell ref="C37:D37"/>
    <mergeCell ref="E37:F37"/>
    <mergeCell ref="A6:A10"/>
    <mergeCell ref="A4:A5"/>
    <mergeCell ref="B4:B5"/>
    <mergeCell ref="C4:D4"/>
    <mergeCell ref="E4:F4"/>
    <mergeCell ref="K22:K23"/>
    <mergeCell ref="A28:A29"/>
    <mergeCell ref="B28:B29"/>
    <mergeCell ref="C28:D28"/>
    <mergeCell ref="E28:F28"/>
    <mergeCell ref="G28:H28"/>
    <mergeCell ref="F64:G64"/>
    <mergeCell ref="H64:I64"/>
    <mergeCell ref="J64:K64"/>
    <mergeCell ref="A39:A43"/>
    <mergeCell ref="A46:A47"/>
    <mergeCell ref="B46:B47"/>
    <mergeCell ref="C46:D46"/>
    <mergeCell ref="E46:F46"/>
    <mergeCell ref="G46:H46"/>
    <mergeCell ref="A48:A52"/>
    <mergeCell ref="A58:B58"/>
    <mergeCell ref="F59:G59"/>
    <mergeCell ref="H59:I59"/>
    <mergeCell ref="J59:K59"/>
  </mergeCells>
  <pageMargins left="0.70866141732283472" right="0.70866141732283472" top="0.74803149606299213" bottom="0.74803149606299213" header="0.31496062992125984" footer="0.31496062992125984"/>
  <pageSetup paperSize="8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50"/>
  <sheetViews>
    <sheetView tabSelected="1" view="pageBreakPreview" zoomScale="80" zoomScaleNormal="80" zoomScaleSheetLayoutView="80" workbookViewId="0">
      <selection activeCell="E50" sqref="A50:E50"/>
    </sheetView>
  </sheetViews>
  <sheetFormatPr defaultRowHeight="15" x14ac:dyDescent="0.25"/>
  <cols>
    <col min="1" max="1" width="39.85546875" customWidth="1"/>
    <col min="2" max="2" width="34.42578125" customWidth="1"/>
    <col min="3" max="3" width="9.28515625" customWidth="1"/>
    <col min="4" max="4" width="14.5703125" customWidth="1"/>
    <col min="5" max="12" width="14.7109375" customWidth="1"/>
    <col min="13" max="13" width="18.85546875" customWidth="1"/>
  </cols>
  <sheetData>
    <row r="2" spans="1:13" ht="15.75" x14ac:dyDescent="0.25">
      <c r="L2" s="150"/>
      <c r="M2" s="150"/>
    </row>
    <row r="3" spans="1:13" x14ac:dyDescent="0.25">
      <c r="L3" s="107"/>
    </row>
    <row r="4" spans="1:13" ht="15.75" x14ac:dyDescent="0.25">
      <c r="K4" s="129"/>
      <c r="M4" s="129"/>
    </row>
    <row r="5" spans="1:13" ht="15.75" x14ac:dyDescent="0.25">
      <c r="K5" s="129"/>
      <c r="M5" s="129"/>
    </row>
    <row r="6" spans="1:13" ht="15.75" x14ac:dyDescent="0.25">
      <c r="K6" s="129"/>
      <c r="M6" s="129"/>
    </row>
    <row r="7" spans="1:13" ht="15.75" x14ac:dyDescent="0.25">
      <c r="K7" s="129"/>
      <c r="M7" s="129"/>
    </row>
    <row r="8" spans="1:13" ht="15.75" x14ac:dyDescent="0.25">
      <c r="K8" s="129"/>
      <c r="M8" s="129"/>
    </row>
    <row r="9" spans="1:13" ht="15.75" x14ac:dyDescent="0.25">
      <c r="K9" s="129"/>
      <c r="M9" s="129"/>
    </row>
    <row r="10" spans="1:13" x14ac:dyDescent="0.25">
      <c r="H10" s="107"/>
      <c r="I10" s="107"/>
      <c r="J10" s="107"/>
      <c r="L10" s="107"/>
      <c r="M10" s="107"/>
    </row>
    <row r="11" spans="1:13" x14ac:dyDescent="0.25">
      <c r="H11" s="107"/>
      <c r="I11" s="107"/>
      <c r="J11" s="107"/>
      <c r="L11" s="107"/>
      <c r="M11" s="107"/>
    </row>
    <row r="12" spans="1:13" ht="20.25" x14ac:dyDescent="0.3">
      <c r="A12" s="108"/>
      <c r="B12" s="154" t="s">
        <v>64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</row>
    <row r="13" spans="1:13" ht="15.75" thickBot="1" x14ac:dyDescent="0.3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</row>
    <row r="14" spans="1:13" ht="15.75" customHeight="1" thickBot="1" x14ac:dyDescent="0.3">
      <c r="A14" s="162" t="s">
        <v>1</v>
      </c>
      <c r="B14" s="164" t="s">
        <v>48</v>
      </c>
      <c r="C14" s="160" t="s">
        <v>69</v>
      </c>
      <c r="D14" s="155" t="s">
        <v>58</v>
      </c>
      <c r="E14" s="155"/>
      <c r="F14" s="155"/>
      <c r="G14" s="156" t="s">
        <v>59</v>
      </c>
      <c r="H14" s="156"/>
      <c r="I14" s="156"/>
      <c r="J14" s="155" t="s">
        <v>60</v>
      </c>
      <c r="K14" s="155"/>
      <c r="L14" s="155"/>
      <c r="M14" s="109" t="s">
        <v>61</v>
      </c>
    </row>
    <row r="15" spans="1:13" ht="63.75" thickBot="1" x14ac:dyDescent="0.3">
      <c r="A15" s="163"/>
      <c r="B15" s="164"/>
      <c r="C15" s="161"/>
      <c r="D15" s="110" t="s">
        <v>72</v>
      </c>
      <c r="E15" s="111" t="s">
        <v>49</v>
      </c>
      <c r="F15" s="111" t="s">
        <v>50</v>
      </c>
      <c r="G15" s="110" t="s">
        <v>72</v>
      </c>
      <c r="H15" s="111" t="s">
        <v>49</v>
      </c>
      <c r="I15" s="111" t="s">
        <v>50</v>
      </c>
      <c r="J15" s="110" t="s">
        <v>72</v>
      </c>
      <c r="K15" s="111" t="s">
        <v>49</v>
      </c>
      <c r="L15" s="111" t="s">
        <v>50</v>
      </c>
      <c r="M15" s="111" t="s">
        <v>51</v>
      </c>
    </row>
    <row r="16" spans="1:13" ht="16.5" thickBot="1" x14ac:dyDescent="0.3">
      <c r="A16" s="116">
        <v>1</v>
      </c>
      <c r="B16" s="112">
        <v>2</v>
      </c>
      <c r="C16" s="112"/>
      <c r="D16" s="112">
        <v>3</v>
      </c>
      <c r="E16" s="112">
        <v>4</v>
      </c>
      <c r="F16" s="112">
        <v>5</v>
      </c>
      <c r="G16" s="112">
        <v>6</v>
      </c>
      <c r="H16" s="112">
        <v>7</v>
      </c>
      <c r="I16" s="112">
        <v>8</v>
      </c>
      <c r="J16" s="112">
        <v>9</v>
      </c>
      <c r="K16" s="112">
        <v>10</v>
      </c>
      <c r="L16" s="112">
        <v>11</v>
      </c>
      <c r="M16" s="112">
        <v>12</v>
      </c>
    </row>
    <row r="17" spans="1:13" ht="32.25" thickBot="1" x14ac:dyDescent="0.3">
      <c r="A17" s="157" t="s">
        <v>65</v>
      </c>
      <c r="B17" s="113" t="s">
        <v>52</v>
      </c>
      <c r="C17" s="118" t="s">
        <v>7</v>
      </c>
      <c r="D17" s="126">
        <v>1463</v>
      </c>
      <c r="E17" s="121">
        <v>0</v>
      </c>
      <c r="F17" s="121">
        <v>0</v>
      </c>
      <c r="G17" s="120">
        <v>435</v>
      </c>
      <c r="H17" s="121">
        <v>0</v>
      </c>
      <c r="I17" s="121">
        <v>0</v>
      </c>
      <c r="J17" s="120">
        <v>606</v>
      </c>
      <c r="K17" s="121">
        <f>H17*1.04</f>
        <v>0</v>
      </c>
      <c r="L17" s="121">
        <f t="shared" ref="L17:L19" si="0">K17*J17</f>
        <v>0</v>
      </c>
      <c r="M17" s="122">
        <f>F17+I17+L17</f>
        <v>0</v>
      </c>
    </row>
    <row r="18" spans="1:13" ht="32.25" thickBot="1" x14ac:dyDescent="0.3">
      <c r="A18" s="158"/>
      <c r="B18" s="113" t="s">
        <v>53</v>
      </c>
      <c r="C18" s="118" t="s">
        <v>7</v>
      </c>
      <c r="D18" s="126">
        <f>'[1]УД-13 (2)'!$D$39</f>
        <v>355.56211180124222</v>
      </c>
      <c r="E18" s="121">
        <v>0</v>
      </c>
      <c r="F18" s="121">
        <v>0</v>
      </c>
      <c r="G18" s="120">
        <v>488</v>
      </c>
      <c r="H18" s="122">
        <v>0</v>
      </c>
      <c r="I18" s="121">
        <v>0</v>
      </c>
      <c r="J18" s="120">
        <v>262</v>
      </c>
      <c r="K18" s="121">
        <f>H18*1.04</f>
        <v>0</v>
      </c>
      <c r="L18" s="121">
        <f t="shared" si="0"/>
        <v>0</v>
      </c>
      <c r="M18" s="122">
        <f>F18+I18+L18</f>
        <v>0</v>
      </c>
    </row>
    <row r="19" spans="1:13" ht="36" customHeight="1" thickBot="1" x14ac:dyDescent="0.3">
      <c r="A19" s="158"/>
      <c r="B19" s="113" t="s">
        <v>54</v>
      </c>
      <c r="C19" s="118" t="s">
        <v>7</v>
      </c>
      <c r="D19" s="126">
        <v>339</v>
      </c>
      <c r="E19" s="121">
        <v>0</v>
      </c>
      <c r="F19" s="121">
        <v>0</v>
      </c>
      <c r="G19" s="120">
        <v>287</v>
      </c>
      <c r="H19" s="123">
        <v>0</v>
      </c>
      <c r="I19" s="121">
        <v>0</v>
      </c>
      <c r="J19" s="120">
        <v>125</v>
      </c>
      <c r="K19" s="121">
        <f>H19*1.04</f>
        <v>0</v>
      </c>
      <c r="L19" s="121">
        <f t="shared" si="0"/>
        <v>0</v>
      </c>
      <c r="M19" s="122">
        <f>F19+I19+L19</f>
        <v>0</v>
      </c>
    </row>
    <row r="20" spans="1:13" ht="32.25" thickBot="1" x14ac:dyDescent="0.3">
      <c r="A20" s="158"/>
      <c r="B20" s="113" t="s">
        <v>57</v>
      </c>
      <c r="C20" s="118" t="s">
        <v>7</v>
      </c>
      <c r="D20" s="126">
        <v>158</v>
      </c>
      <c r="E20" s="121">
        <v>0</v>
      </c>
      <c r="F20" s="121">
        <v>0</v>
      </c>
      <c r="G20" s="120">
        <v>0</v>
      </c>
      <c r="H20" s="123">
        <v>0</v>
      </c>
      <c r="I20" s="121">
        <v>0</v>
      </c>
      <c r="J20" s="120">
        <v>0</v>
      </c>
      <c r="K20" s="121">
        <v>0</v>
      </c>
      <c r="L20" s="121">
        <v>0</v>
      </c>
      <c r="M20" s="122">
        <f>F20+I20+L20</f>
        <v>0</v>
      </c>
    </row>
    <row r="21" spans="1:13" ht="16.5" thickBot="1" x14ac:dyDescent="0.3">
      <c r="A21" s="158"/>
      <c r="B21" s="114" t="s">
        <v>62</v>
      </c>
      <c r="C21" s="111"/>
      <c r="D21" s="126">
        <f>SUM(D17:D20)</f>
        <v>2315.5621118012423</v>
      </c>
      <c r="E21" s="121"/>
      <c r="F21" s="120"/>
      <c r="G21" s="120">
        <f>SUM(G17:G20)</f>
        <v>1210</v>
      </c>
      <c r="H21" s="121"/>
      <c r="I21" s="120">
        <f>SUM(I17:I20)</f>
        <v>0</v>
      </c>
      <c r="J21" s="120">
        <f>SUM(J17:J20)</f>
        <v>993</v>
      </c>
      <c r="K21" s="121"/>
      <c r="L21" s="120">
        <f>SUM(L17:L20)</f>
        <v>0</v>
      </c>
      <c r="M21" s="124">
        <f>SUM(M17:M20)</f>
        <v>0</v>
      </c>
    </row>
    <row r="22" spans="1:13" ht="16.5" thickBot="1" x14ac:dyDescent="0.3">
      <c r="A22" s="158"/>
      <c r="B22" s="113" t="s">
        <v>55</v>
      </c>
      <c r="C22" s="118" t="s">
        <v>7</v>
      </c>
      <c r="D22" s="126">
        <v>6</v>
      </c>
      <c r="E22" s="123">
        <v>0</v>
      </c>
      <c r="F22" s="121">
        <v>0</v>
      </c>
      <c r="G22" s="120">
        <v>2</v>
      </c>
      <c r="H22" s="123">
        <v>0</v>
      </c>
      <c r="I22" s="121">
        <v>0</v>
      </c>
      <c r="J22" s="120">
        <v>6</v>
      </c>
      <c r="K22" s="121">
        <f>H22*1.04</f>
        <v>0</v>
      </c>
      <c r="L22" s="121">
        <f t="shared" ref="L22:L23" si="1">K22*J22</f>
        <v>0</v>
      </c>
      <c r="M22" s="122">
        <f>F22+I22+L22</f>
        <v>0</v>
      </c>
    </row>
    <row r="23" spans="1:13" ht="16.5" thickBot="1" x14ac:dyDescent="0.3">
      <c r="A23" s="158"/>
      <c r="B23" s="113" t="s">
        <v>56</v>
      </c>
      <c r="C23" s="118" t="s">
        <v>7</v>
      </c>
      <c r="D23" s="126">
        <v>6</v>
      </c>
      <c r="E23" s="123">
        <v>0</v>
      </c>
      <c r="F23" s="121">
        <v>0</v>
      </c>
      <c r="G23" s="120">
        <v>2</v>
      </c>
      <c r="H23" s="123">
        <v>0</v>
      </c>
      <c r="I23" s="121">
        <v>0</v>
      </c>
      <c r="J23" s="120">
        <v>6</v>
      </c>
      <c r="K23" s="121">
        <f>H23*1.04</f>
        <v>0</v>
      </c>
      <c r="L23" s="121">
        <f t="shared" si="1"/>
        <v>0</v>
      </c>
      <c r="M23" s="122">
        <f>F23+I23+L23</f>
        <v>0</v>
      </c>
    </row>
    <row r="24" spans="1:13" ht="16.5" thickBot="1" x14ac:dyDescent="0.3">
      <c r="A24" s="158"/>
      <c r="B24" s="114" t="s">
        <v>62</v>
      </c>
      <c r="C24" s="111"/>
      <c r="D24" s="128">
        <f>SUM(D22:D23)</f>
        <v>12</v>
      </c>
      <c r="E24" s="125">
        <v>0</v>
      </c>
      <c r="F24" s="125">
        <v>0</v>
      </c>
      <c r="G24" s="125">
        <f t="shared" ref="G24:M24" si="2">SUM(G22:G23)</f>
        <v>4</v>
      </c>
      <c r="H24" s="125">
        <v>0</v>
      </c>
      <c r="I24" s="125">
        <v>0</v>
      </c>
      <c r="J24" s="125">
        <f t="shared" si="2"/>
        <v>12</v>
      </c>
      <c r="K24" s="125">
        <v>0</v>
      </c>
      <c r="L24" s="125">
        <f t="shared" si="2"/>
        <v>0</v>
      </c>
      <c r="M24" s="125">
        <f t="shared" si="2"/>
        <v>0</v>
      </c>
    </row>
    <row r="25" spans="1:13" ht="32.25" thickBot="1" x14ac:dyDescent="0.3">
      <c r="A25" s="158"/>
      <c r="B25" s="117" t="s">
        <v>68</v>
      </c>
      <c r="C25" s="115" t="s">
        <v>70</v>
      </c>
      <c r="D25" s="127">
        <v>0</v>
      </c>
      <c r="E25" s="125">
        <v>0</v>
      </c>
      <c r="F25" s="125">
        <v>0</v>
      </c>
      <c r="G25" s="125">
        <v>0</v>
      </c>
      <c r="H25" s="125">
        <v>0</v>
      </c>
      <c r="I25" s="125">
        <f>I21+I24</f>
        <v>0</v>
      </c>
      <c r="J25" s="125">
        <v>0</v>
      </c>
      <c r="K25" s="125">
        <v>0</v>
      </c>
      <c r="L25" s="125">
        <f>L21+L24</f>
        <v>0</v>
      </c>
      <c r="M25" s="125">
        <f>M21+M24</f>
        <v>0</v>
      </c>
    </row>
    <row r="26" spans="1:13" ht="16.5" thickBot="1" x14ac:dyDescent="0.3">
      <c r="A26" s="158"/>
      <c r="B26" s="114" t="s">
        <v>62</v>
      </c>
      <c r="C26" s="114"/>
      <c r="D26" s="127">
        <v>0</v>
      </c>
      <c r="E26" s="125">
        <v>0</v>
      </c>
      <c r="F26" s="125">
        <v>0</v>
      </c>
      <c r="G26" s="125">
        <v>0</v>
      </c>
      <c r="H26" s="125">
        <v>0</v>
      </c>
      <c r="I26" s="125">
        <v>0</v>
      </c>
      <c r="J26" s="125">
        <v>0</v>
      </c>
      <c r="K26" s="125">
        <v>0</v>
      </c>
      <c r="L26" s="125">
        <v>0</v>
      </c>
      <c r="M26" s="125">
        <v>0</v>
      </c>
    </row>
    <row r="27" spans="1:13" ht="16.5" thickBot="1" x14ac:dyDescent="0.3">
      <c r="A27" s="159"/>
      <c r="B27" s="114" t="s">
        <v>63</v>
      </c>
      <c r="C27" s="114"/>
      <c r="D27" s="127">
        <v>0</v>
      </c>
      <c r="E27" s="125">
        <v>0</v>
      </c>
      <c r="F27" s="125">
        <v>0</v>
      </c>
      <c r="G27" s="125">
        <v>0</v>
      </c>
      <c r="H27" s="125">
        <v>0</v>
      </c>
      <c r="I27" s="125">
        <f>I23+I26</f>
        <v>0</v>
      </c>
      <c r="J27" s="125">
        <v>0</v>
      </c>
      <c r="K27" s="125">
        <v>0</v>
      </c>
      <c r="L27" s="125">
        <f>L23+L26</f>
        <v>0</v>
      </c>
      <c r="M27" s="125">
        <f>M23+M26</f>
        <v>0</v>
      </c>
    </row>
    <row r="28" spans="1:13" ht="32.25" thickBot="1" x14ac:dyDescent="0.3">
      <c r="A28" s="151" t="s">
        <v>66</v>
      </c>
      <c r="B28" s="113" t="s">
        <v>52</v>
      </c>
      <c r="C28" s="118" t="s">
        <v>7</v>
      </c>
      <c r="D28" s="126">
        <v>2075</v>
      </c>
      <c r="E28" s="121">
        <v>0</v>
      </c>
      <c r="F28" s="121">
        <v>0</v>
      </c>
      <c r="G28" s="120">
        <v>699</v>
      </c>
      <c r="H28" s="121">
        <f>E28*1.046</f>
        <v>0</v>
      </c>
      <c r="I28" s="121">
        <f>H28*G28</f>
        <v>0</v>
      </c>
      <c r="J28" s="120">
        <v>687</v>
      </c>
      <c r="K28" s="121">
        <f>H28*1.04</f>
        <v>0</v>
      </c>
      <c r="L28" s="121">
        <f t="shared" ref="L28:L30" si="3">K28*J28</f>
        <v>0</v>
      </c>
      <c r="M28" s="122">
        <f>F28+I28+L28</f>
        <v>0</v>
      </c>
    </row>
    <row r="29" spans="1:13" ht="32.25" thickBot="1" x14ac:dyDescent="0.3">
      <c r="A29" s="152"/>
      <c r="B29" s="113" t="s">
        <v>53</v>
      </c>
      <c r="C29" s="118" t="s">
        <v>71</v>
      </c>
      <c r="D29" s="126">
        <v>1945</v>
      </c>
      <c r="E29" s="122">
        <v>0</v>
      </c>
      <c r="F29" s="121">
        <v>0</v>
      </c>
      <c r="G29" s="120">
        <v>563</v>
      </c>
      <c r="H29" s="122">
        <f>E29*1.046</f>
        <v>0</v>
      </c>
      <c r="I29" s="121">
        <f>H29*G29</f>
        <v>0</v>
      </c>
      <c r="J29" s="120">
        <v>564</v>
      </c>
      <c r="K29" s="121">
        <f>H29*1.04</f>
        <v>0</v>
      </c>
      <c r="L29" s="121">
        <f t="shared" si="3"/>
        <v>0</v>
      </c>
      <c r="M29" s="122">
        <f>F29+I29+L29</f>
        <v>0</v>
      </c>
    </row>
    <row r="30" spans="1:13" ht="39.75" customHeight="1" thickBot="1" x14ac:dyDescent="0.3">
      <c r="A30" s="152"/>
      <c r="B30" s="113" t="s">
        <v>54</v>
      </c>
      <c r="C30" s="118" t="s">
        <v>7</v>
      </c>
      <c r="D30" s="126">
        <v>900</v>
      </c>
      <c r="E30" s="123">
        <v>0</v>
      </c>
      <c r="F30" s="121">
        <v>0</v>
      </c>
      <c r="G30" s="120">
        <v>322</v>
      </c>
      <c r="H30" s="123">
        <f>E30*1.046</f>
        <v>0</v>
      </c>
      <c r="I30" s="121">
        <f>H30*G30</f>
        <v>0</v>
      </c>
      <c r="J30" s="120">
        <v>324</v>
      </c>
      <c r="K30" s="121">
        <f>H30*1.04</f>
        <v>0</v>
      </c>
      <c r="L30" s="121">
        <f t="shared" si="3"/>
        <v>0</v>
      </c>
      <c r="M30" s="122">
        <f>F30+I30+L30</f>
        <v>0</v>
      </c>
    </row>
    <row r="31" spans="1:13" ht="16.5" thickBot="1" x14ac:dyDescent="0.3">
      <c r="A31" s="152"/>
      <c r="B31" s="114" t="s">
        <v>62</v>
      </c>
      <c r="C31" s="111"/>
      <c r="D31" s="126">
        <f>SUM(D28:D30)</f>
        <v>4920</v>
      </c>
      <c r="E31" s="121">
        <v>0</v>
      </c>
      <c r="F31" s="120">
        <v>0</v>
      </c>
      <c r="G31" s="120">
        <f>SUM(G28:G30)</f>
        <v>1584</v>
      </c>
      <c r="H31" s="121">
        <v>0</v>
      </c>
      <c r="I31" s="120">
        <v>0</v>
      </c>
      <c r="J31" s="120">
        <f>SUM(J28:J30)</f>
        <v>1575</v>
      </c>
      <c r="K31" s="121">
        <v>0</v>
      </c>
      <c r="L31" s="120">
        <v>0</v>
      </c>
      <c r="M31" s="124">
        <f>SUM(M28:M30)</f>
        <v>0</v>
      </c>
    </row>
    <row r="32" spans="1:13" ht="16.5" thickBot="1" x14ac:dyDescent="0.3">
      <c r="A32" s="152"/>
      <c r="B32" s="113" t="s">
        <v>55</v>
      </c>
      <c r="C32" s="118" t="s">
        <v>7</v>
      </c>
      <c r="D32" s="126">
        <v>12</v>
      </c>
      <c r="E32" s="123">
        <v>0</v>
      </c>
      <c r="F32" s="121">
        <f t="shared" ref="F32:F33" si="4">E32*D32</f>
        <v>0</v>
      </c>
      <c r="G32" s="120">
        <v>6</v>
      </c>
      <c r="H32" s="123">
        <f>E32*1.046</f>
        <v>0</v>
      </c>
      <c r="I32" s="121">
        <f>H32*G32</f>
        <v>0</v>
      </c>
      <c r="J32" s="120">
        <v>6</v>
      </c>
      <c r="K32" s="121">
        <f>H32*1.04</f>
        <v>0</v>
      </c>
      <c r="L32" s="121">
        <f t="shared" ref="L32:L33" si="5">K32*J32</f>
        <v>0</v>
      </c>
      <c r="M32" s="122">
        <f>F32+I32+L32</f>
        <v>0</v>
      </c>
    </row>
    <row r="33" spans="1:13" ht="16.5" thickBot="1" x14ac:dyDescent="0.3">
      <c r="A33" s="152"/>
      <c r="B33" s="113" t="s">
        <v>56</v>
      </c>
      <c r="C33" s="118" t="s">
        <v>7</v>
      </c>
      <c r="D33" s="126">
        <v>12</v>
      </c>
      <c r="E33" s="123">
        <v>0</v>
      </c>
      <c r="F33" s="121">
        <f t="shared" si="4"/>
        <v>0</v>
      </c>
      <c r="G33" s="120">
        <v>6</v>
      </c>
      <c r="H33" s="123">
        <f>E33*1.046</f>
        <v>0</v>
      </c>
      <c r="I33" s="121">
        <f>H33*G33</f>
        <v>0</v>
      </c>
      <c r="J33" s="120">
        <v>6</v>
      </c>
      <c r="K33" s="121">
        <f>H33*1.04</f>
        <v>0</v>
      </c>
      <c r="L33" s="121">
        <f t="shared" si="5"/>
        <v>0</v>
      </c>
      <c r="M33" s="122">
        <f>F33+I33+L33</f>
        <v>0</v>
      </c>
    </row>
    <row r="34" spans="1:13" ht="16.5" thickBot="1" x14ac:dyDescent="0.3">
      <c r="A34" s="152"/>
      <c r="B34" s="114" t="s">
        <v>62</v>
      </c>
      <c r="C34" s="111"/>
      <c r="D34" s="127">
        <f>SUM(D32:D33)</f>
        <v>24</v>
      </c>
      <c r="E34" s="125"/>
      <c r="F34" s="125">
        <f>SUM(F32:F33)</f>
        <v>0</v>
      </c>
      <c r="G34" s="125">
        <f>SUM(G32:G33)</f>
        <v>12</v>
      </c>
      <c r="H34" s="125"/>
      <c r="I34" s="125">
        <f>SUM(I32:I33)</f>
        <v>0</v>
      </c>
      <c r="J34" s="125">
        <f>SUM(J32:J33)</f>
        <v>12</v>
      </c>
      <c r="K34" s="125"/>
      <c r="L34" s="125">
        <f>SUM(L32:L33)</f>
        <v>0</v>
      </c>
      <c r="M34" s="125">
        <f>SUM(M32:M33)</f>
        <v>0</v>
      </c>
    </row>
    <row r="35" spans="1:13" ht="32.25" thickBot="1" x14ac:dyDescent="0.3">
      <c r="A35" s="152"/>
      <c r="B35" s="117" t="s">
        <v>68</v>
      </c>
      <c r="C35" s="115" t="s">
        <v>70</v>
      </c>
      <c r="D35" s="127">
        <v>0</v>
      </c>
      <c r="E35" s="125">
        <v>0</v>
      </c>
      <c r="F35" s="125">
        <v>0</v>
      </c>
      <c r="G35" s="125">
        <v>0</v>
      </c>
      <c r="H35" s="125">
        <v>0</v>
      </c>
      <c r="I35" s="125">
        <f>I31+I34</f>
        <v>0</v>
      </c>
      <c r="J35" s="125">
        <v>0</v>
      </c>
      <c r="K35" s="125">
        <v>0</v>
      </c>
      <c r="L35" s="125">
        <f>L31+L34</f>
        <v>0</v>
      </c>
      <c r="M35" s="125">
        <f>M31+M34</f>
        <v>0</v>
      </c>
    </row>
    <row r="36" spans="1:13" ht="16.5" thickBot="1" x14ac:dyDescent="0.3">
      <c r="A36" s="152"/>
      <c r="B36" s="114" t="s">
        <v>62</v>
      </c>
      <c r="C36" s="111"/>
      <c r="D36" s="127">
        <v>0</v>
      </c>
      <c r="E36" s="125">
        <v>0</v>
      </c>
      <c r="F36" s="125">
        <v>0</v>
      </c>
      <c r="G36" s="125">
        <v>0</v>
      </c>
      <c r="H36" s="125">
        <v>0</v>
      </c>
      <c r="I36" s="125">
        <v>0</v>
      </c>
      <c r="J36" s="125">
        <v>0</v>
      </c>
      <c r="K36" s="125">
        <v>0</v>
      </c>
      <c r="L36" s="125">
        <v>0</v>
      </c>
      <c r="M36" s="125">
        <v>0</v>
      </c>
    </row>
    <row r="37" spans="1:13" ht="16.5" thickBot="1" x14ac:dyDescent="0.3">
      <c r="A37" s="153"/>
      <c r="B37" s="114" t="s">
        <v>63</v>
      </c>
      <c r="C37" s="111"/>
      <c r="D37" s="127">
        <v>0</v>
      </c>
      <c r="E37" s="125">
        <v>0</v>
      </c>
      <c r="F37" s="125">
        <v>0</v>
      </c>
      <c r="G37" s="125">
        <v>0</v>
      </c>
      <c r="H37" s="125">
        <v>0</v>
      </c>
      <c r="I37" s="125">
        <f>I33+I36</f>
        <v>0</v>
      </c>
      <c r="J37" s="125">
        <v>0</v>
      </c>
      <c r="K37" s="125">
        <v>0</v>
      </c>
      <c r="L37" s="125">
        <f>L33+L36</f>
        <v>0</v>
      </c>
      <c r="M37" s="125">
        <f>M33+M36</f>
        <v>0</v>
      </c>
    </row>
    <row r="38" spans="1:13" ht="32.25" thickBot="1" x14ac:dyDescent="0.3">
      <c r="A38" s="151" t="s">
        <v>67</v>
      </c>
      <c r="B38" s="113" t="s">
        <v>52</v>
      </c>
      <c r="C38" s="118" t="s">
        <v>7</v>
      </c>
      <c r="D38" s="126">
        <v>1558</v>
      </c>
      <c r="E38" s="121">
        <v>0</v>
      </c>
      <c r="F38" s="121">
        <f t="shared" ref="F38" si="6">E38*D38</f>
        <v>0</v>
      </c>
      <c r="G38" s="120">
        <v>1295</v>
      </c>
      <c r="H38" s="121">
        <f>E38*1.046</f>
        <v>0</v>
      </c>
      <c r="I38" s="121">
        <f>H38*G38</f>
        <v>0</v>
      </c>
      <c r="J38" s="120">
        <v>1229</v>
      </c>
      <c r="K38" s="121">
        <f>H38*1.04</f>
        <v>0</v>
      </c>
      <c r="L38" s="121">
        <f t="shared" ref="L38:L40" si="7">K38*J38</f>
        <v>0</v>
      </c>
      <c r="M38" s="122">
        <f>F38+I38+L38</f>
        <v>0</v>
      </c>
    </row>
    <row r="39" spans="1:13" ht="32.25" thickBot="1" x14ac:dyDescent="0.3">
      <c r="A39" s="152"/>
      <c r="B39" s="113" t="s">
        <v>53</v>
      </c>
      <c r="C39" s="118" t="s">
        <v>71</v>
      </c>
      <c r="D39" s="126">
        <v>1058</v>
      </c>
      <c r="E39" s="122">
        <v>0</v>
      </c>
      <c r="F39" s="121">
        <f>E39*D39</f>
        <v>0</v>
      </c>
      <c r="G39" s="120">
        <v>1850</v>
      </c>
      <c r="H39" s="122">
        <f>E39*1.046</f>
        <v>0</v>
      </c>
      <c r="I39" s="121">
        <f>H39*G39</f>
        <v>0</v>
      </c>
      <c r="J39" s="120">
        <v>989</v>
      </c>
      <c r="K39" s="121">
        <f>H39*1.04</f>
        <v>0</v>
      </c>
      <c r="L39" s="121">
        <f t="shared" si="7"/>
        <v>0</v>
      </c>
      <c r="M39" s="122">
        <f>F39+I39+L39</f>
        <v>0</v>
      </c>
    </row>
    <row r="40" spans="1:13" ht="39.75" customHeight="1" thickBot="1" x14ac:dyDescent="0.3">
      <c r="A40" s="152"/>
      <c r="B40" s="113" t="s">
        <v>54</v>
      </c>
      <c r="C40" s="118" t="s">
        <v>7</v>
      </c>
      <c r="D40" s="126">
        <v>559</v>
      </c>
      <c r="E40" s="123">
        <v>0</v>
      </c>
      <c r="F40" s="121">
        <f t="shared" ref="F40" si="8">E40*D40</f>
        <v>0</v>
      </c>
      <c r="G40" s="120">
        <v>642</v>
      </c>
      <c r="H40" s="123">
        <f>E40*1.046</f>
        <v>0</v>
      </c>
      <c r="I40" s="121">
        <f>H40*G40</f>
        <v>0</v>
      </c>
      <c r="J40" s="120">
        <v>563</v>
      </c>
      <c r="K40" s="121">
        <f>H40*1.04</f>
        <v>0</v>
      </c>
      <c r="L40" s="121">
        <f t="shared" si="7"/>
        <v>0</v>
      </c>
      <c r="M40" s="122">
        <f>F40+I40+L40</f>
        <v>0</v>
      </c>
    </row>
    <row r="41" spans="1:13" ht="16.5" thickBot="1" x14ac:dyDescent="0.3">
      <c r="A41" s="152"/>
      <c r="B41" s="114" t="s">
        <v>62</v>
      </c>
      <c r="C41" s="111"/>
      <c r="D41" s="126">
        <f>SUM(D38:D40)</f>
        <v>3175</v>
      </c>
      <c r="E41" s="121">
        <v>0</v>
      </c>
      <c r="F41" s="120">
        <v>0</v>
      </c>
      <c r="G41" s="120">
        <f>SUM(G38:G40)</f>
        <v>3787</v>
      </c>
      <c r="H41" s="121">
        <v>0</v>
      </c>
      <c r="I41" s="120">
        <f>SUM(I38:I40)</f>
        <v>0</v>
      </c>
      <c r="J41" s="120">
        <f>SUM(J38:J40)</f>
        <v>2781</v>
      </c>
      <c r="K41" s="121"/>
      <c r="L41" s="120">
        <f>SUM(L38:L40)</f>
        <v>0</v>
      </c>
      <c r="M41" s="124">
        <f>SUM(M38:M40)</f>
        <v>0</v>
      </c>
    </row>
    <row r="42" spans="1:13" ht="16.5" thickBot="1" x14ac:dyDescent="0.3">
      <c r="A42" s="152"/>
      <c r="B42" s="113" t="s">
        <v>55</v>
      </c>
      <c r="C42" s="118" t="s">
        <v>7</v>
      </c>
      <c r="D42" s="126">
        <v>10</v>
      </c>
      <c r="E42" s="123">
        <v>0</v>
      </c>
      <c r="F42" s="121">
        <f t="shared" ref="F42:F43" si="9">E42*D42</f>
        <v>0</v>
      </c>
      <c r="G42" s="120">
        <v>8</v>
      </c>
      <c r="H42" s="123">
        <f>E42*1.046</f>
        <v>0</v>
      </c>
      <c r="I42" s="121">
        <f>H42*G42</f>
        <v>0</v>
      </c>
      <c r="J42" s="120">
        <v>8</v>
      </c>
      <c r="K42" s="121">
        <f>H42*1.04</f>
        <v>0</v>
      </c>
      <c r="L42" s="121">
        <f t="shared" ref="L42:L43" si="10">K42*J42</f>
        <v>0</v>
      </c>
      <c r="M42" s="122">
        <f>F42+I42+L42</f>
        <v>0</v>
      </c>
    </row>
    <row r="43" spans="1:13" ht="16.5" thickBot="1" x14ac:dyDescent="0.3">
      <c r="A43" s="152"/>
      <c r="B43" s="113" t="s">
        <v>56</v>
      </c>
      <c r="C43" s="118" t="s">
        <v>7</v>
      </c>
      <c r="D43" s="126">
        <v>10</v>
      </c>
      <c r="E43" s="123">
        <v>0</v>
      </c>
      <c r="F43" s="121">
        <f t="shared" si="9"/>
        <v>0</v>
      </c>
      <c r="G43" s="120">
        <v>8</v>
      </c>
      <c r="H43" s="123">
        <f>E43*1.046</f>
        <v>0</v>
      </c>
      <c r="I43" s="121">
        <f>H43*G43</f>
        <v>0</v>
      </c>
      <c r="J43" s="120">
        <v>8</v>
      </c>
      <c r="K43" s="121">
        <f>H43*1.04</f>
        <v>0</v>
      </c>
      <c r="L43" s="121">
        <f t="shared" si="10"/>
        <v>0</v>
      </c>
      <c r="M43" s="122">
        <f>F43+I43+L43</f>
        <v>0</v>
      </c>
    </row>
    <row r="44" spans="1:13" ht="16.5" thickBot="1" x14ac:dyDescent="0.3">
      <c r="A44" s="152"/>
      <c r="B44" s="114" t="s">
        <v>62</v>
      </c>
      <c r="C44" s="111"/>
      <c r="D44" s="127">
        <f>SUM(D42:D43)</f>
        <v>20</v>
      </c>
      <c r="E44" s="125">
        <v>0</v>
      </c>
      <c r="F44" s="125">
        <f>SUM(F42:F43)</f>
        <v>0</v>
      </c>
      <c r="G44" s="125">
        <f>SUM(G42:G43)</f>
        <v>16</v>
      </c>
      <c r="H44" s="125">
        <f>E44*1.046</f>
        <v>0</v>
      </c>
      <c r="I44" s="125">
        <f>SUM(I42:I43)</f>
        <v>0</v>
      </c>
      <c r="J44" s="125">
        <f>SUM(J42:J43)</f>
        <v>16</v>
      </c>
      <c r="K44" s="125">
        <f>H44*1.04</f>
        <v>0</v>
      </c>
      <c r="L44" s="125">
        <f>SUM(L42:L43)</f>
        <v>0</v>
      </c>
      <c r="M44" s="125">
        <f>SUM(M42:M43)</f>
        <v>0</v>
      </c>
    </row>
    <row r="45" spans="1:13" ht="32.25" thickBot="1" x14ac:dyDescent="0.3">
      <c r="A45" s="152"/>
      <c r="B45" s="117" t="s">
        <v>68</v>
      </c>
      <c r="C45" s="115" t="s">
        <v>70</v>
      </c>
      <c r="D45" s="127">
        <v>0</v>
      </c>
      <c r="E45" s="125">
        <v>0</v>
      </c>
      <c r="F45" s="125">
        <v>0</v>
      </c>
      <c r="G45" s="125">
        <v>0</v>
      </c>
      <c r="H45" s="125">
        <v>0</v>
      </c>
      <c r="I45" s="125">
        <f>I41+I44</f>
        <v>0</v>
      </c>
      <c r="J45" s="125">
        <v>0</v>
      </c>
      <c r="K45" s="125">
        <v>0</v>
      </c>
      <c r="L45" s="125">
        <f>L41+L44</f>
        <v>0</v>
      </c>
      <c r="M45" s="125">
        <f>M41+M44</f>
        <v>0</v>
      </c>
    </row>
    <row r="46" spans="1:13" ht="16.5" thickBot="1" x14ac:dyDescent="0.3">
      <c r="A46" s="152"/>
      <c r="B46" s="114" t="s">
        <v>62</v>
      </c>
      <c r="C46" s="111"/>
      <c r="D46" s="127">
        <v>0</v>
      </c>
      <c r="E46" s="125">
        <v>0</v>
      </c>
      <c r="F46" s="125">
        <v>0</v>
      </c>
      <c r="G46" s="125">
        <v>0</v>
      </c>
      <c r="H46" s="125">
        <v>0</v>
      </c>
      <c r="I46" s="125">
        <v>0</v>
      </c>
      <c r="J46" s="125">
        <v>0</v>
      </c>
      <c r="K46" s="125">
        <v>0</v>
      </c>
      <c r="L46" s="125">
        <v>0</v>
      </c>
      <c r="M46" s="125">
        <v>0</v>
      </c>
    </row>
    <row r="47" spans="1:13" ht="16.5" thickBot="1" x14ac:dyDescent="0.3">
      <c r="A47" s="153"/>
      <c r="B47" s="114" t="s">
        <v>63</v>
      </c>
      <c r="C47" s="111"/>
      <c r="D47" s="127"/>
      <c r="E47" s="125"/>
      <c r="F47" s="125">
        <f>F41+F44</f>
        <v>0</v>
      </c>
      <c r="G47" s="125"/>
      <c r="H47" s="125"/>
      <c r="I47" s="125">
        <f>I41+I44</f>
        <v>0</v>
      </c>
      <c r="J47" s="125"/>
      <c r="K47" s="125"/>
      <c r="L47" s="125">
        <f>L41+L44</f>
        <v>0</v>
      </c>
      <c r="M47" s="125">
        <f>M41+M44</f>
        <v>0</v>
      </c>
    </row>
    <row r="50" spans="2:5" ht="15.75" x14ac:dyDescent="0.25">
      <c r="B50" s="119"/>
      <c r="C50" s="119"/>
      <c r="D50" s="119"/>
      <c r="E50" s="119"/>
    </row>
  </sheetData>
  <mergeCells count="11">
    <mergeCell ref="L2:M2"/>
    <mergeCell ref="A28:A37"/>
    <mergeCell ref="A38:A47"/>
    <mergeCell ref="B12:M12"/>
    <mergeCell ref="J14:L14"/>
    <mergeCell ref="D14:F14"/>
    <mergeCell ref="G14:I14"/>
    <mergeCell ref="A17:A27"/>
    <mergeCell ref="C14:C15"/>
    <mergeCell ref="A14:A15"/>
    <mergeCell ref="B14:B15"/>
  </mergeCells>
  <pageMargins left="0.59055118110236227" right="0" top="0" bottom="0" header="0" footer="0"/>
  <pageSetup paperSize="9" scale="5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УД-13 (2)</vt:lpstr>
      <vt:lpstr>Производ.программа</vt:lpstr>
      <vt:lpstr>Производ.программа!Область_печати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Белоус Ольга Викторовна</dc:creator>
  <cp:lastModifiedBy>Ионина Яна Эдуардовна</cp:lastModifiedBy>
  <cp:lastPrinted>2022-12-20T07:01:14Z</cp:lastPrinted>
  <dcterms:created xsi:type="dcterms:W3CDTF">2022-06-30T12:43:16Z</dcterms:created>
  <dcterms:modified xsi:type="dcterms:W3CDTF">2022-12-26T12:55:12Z</dcterms:modified>
</cp:coreProperties>
</file>